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dministrator\Desktop\8.24核减岗位\9.15笔试成绩\2.2022年资格审查公告\"/>
    </mc:Choice>
  </mc:AlternateContent>
  <bookViews>
    <workbookView xWindow="0" yWindow="0" windowWidth="28800" windowHeight="12255" firstSheet="1" activeTab="3"/>
  </bookViews>
  <sheets>
    <sheet name="Sheet3" sheetId="1" state="hidden" r:id="rId1"/>
    <sheet name="附件一" sheetId="2" r:id="rId2"/>
    <sheet name="附件二" sheetId="4" r:id="rId3"/>
    <sheet name="附件三" sheetId="3" r:id="rId4"/>
    <sheet name="附件四" sheetId="5" r:id="rId5"/>
    <sheet name="附件五" sheetId="7" r:id="rId6"/>
    <sheet name="附件六" sheetId="6" r:id="rId7"/>
  </sheets>
  <definedNames>
    <definedName name="_xlnm._FilterDatabase" localSheetId="0" hidden="1">Sheet3!$A$1:$XFC$68</definedName>
    <definedName name="_xlnm.Print_Titles" localSheetId="2">附件二!$3:$3</definedName>
    <definedName name="_xlnm.Print_Titles" localSheetId="3">附件三!$3:$3</definedName>
    <definedName name="_xlnm.Print_Titles" localSheetId="4">附件四!$2:$3</definedName>
    <definedName name="_xlnm.Print_Titles" localSheetId="1">附件一!$3:$3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2" l="1"/>
  <c r="A38" i="2"/>
  <c r="A2" i="1"/>
  <c r="D2" i="1"/>
  <c r="E2" i="1"/>
  <c r="F2" i="1"/>
  <c r="G2" i="1"/>
  <c r="H2" i="1"/>
  <c r="I2" i="1"/>
  <c r="J2" i="1"/>
  <c r="K2" i="1"/>
  <c r="L2" i="1"/>
  <c r="M2" i="1"/>
  <c r="N2" i="1"/>
  <c r="O2" i="1"/>
  <c r="P2" i="1"/>
  <c r="Q2" i="1"/>
  <c r="R2" i="1"/>
  <c r="S2" i="1"/>
  <c r="T2" i="1"/>
  <c r="U2" i="1"/>
  <c r="V2" i="1"/>
  <c r="W2" i="1"/>
  <c r="X2" i="1"/>
  <c r="Y2" i="1"/>
  <c r="Z2" i="1"/>
  <c r="AA2" i="1"/>
  <c r="AB2" i="1"/>
  <c r="AC2" i="1"/>
  <c r="AD2" i="1"/>
  <c r="AE2" i="1"/>
  <c r="A3" i="1"/>
  <c r="D3" i="1"/>
  <c r="E3" i="1"/>
  <c r="F3" i="1"/>
  <c r="G3" i="1"/>
  <c r="H3" i="1"/>
  <c r="I3" i="1"/>
  <c r="J3" i="1"/>
  <c r="K3" i="1"/>
  <c r="L3" i="1"/>
  <c r="M3" i="1"/>
  <c r="N3" i="1"/>
  <c r="O3" i="1"/>
  <c r="P3" i="1"/>
  <c r="Q3" i="1"/>
  <c r="R3" i="1"/>
  <c r="S3" i="1"/>
  <c r="T3" i="1"/>
  <c r="U3" i="1"/>
  <c r="V3" i="1"/>
  <c r="W3" i="1"/>
  <c r="X3" i="1"/>
  <c r="Y3" i="1"/>
  <c r="Z3" i="1"/>
  <c r="AA3" i="1"/>
  <c r="AB3" i="1"/>
  <c r="AC3" i="1"/>
  <c r="AD3" i="1"/>
  <c r="AE3" i="1"/>
  <c r="A4" i="1"/>
  <c r="D4" i="1"/>
  <c r="E4" i="1"/>
  <c r="F4" i="1"/>
  <c r="G4" i="1"/>
  <c r="H4" i="1"/>
  <c r="I4" i="1"/>
  <c r="J4" i="1"/>
  <c r="K4" i="1"/>
  <c r="L4" i="1"/>
  <c r="M4" i="1"/>
  <c r="N4" i="1"/>
  <c r="O4" i="1"/>
  <c r="P4" i="1"/>
  <c r="Q4" i="1"/>
  <c r="R4" i="1"/>
  <c r="S4" i="1"/>
  <c r="T4" i="1"/>
  <c r="U4" i="1"/>
  <c r="V4" i="1"/>
  <c r="W4" i="1"/>
  <c r="X4" i="1"/>
  <c r="Y4" i="1"/>
  <c r="Z4" i="1"/>
  <c r="AA4" i="1"/>
  <c r="AB4" i="1"/>
  <c r="AC4" i="1"/>
  <c r="AD4" i="1"/>
  <c r="AE4" i="1"/>
  <c r="A5" i="1"/>
  <c r="D5" i="1"/>
  <c r="E5" i="1"/>
  <c r="F5" i="1"/>
  <c r="G5" i="1"/>
  <c r="H5" i="1"/>
  <c r="I5" i="1"/>
  <c r="J5" i="1"/>
  <c r="K5" i="1"/>
  <c r="L5" i="1"/>
  <c r="M5" i="1"/>
  <c r="N5" i="1"/>
  <c r="O5" i="1"/>
  <c r="P5" i="1"/>
  <c r="Q5" i="1"/>
  <c r="R5" i="1"/>
  <c r="S5" i="1"/>
  <c r="T5" i="1"/>
  <c r="U5" i="1"/>
  <c r="V5" i="1"/>
  <c r="W5" i="1"/>
  <c r="X5" i="1"/>
  <c r="Y5" i="1"/>
  <c r="Z5" i="1"/>
  <c r="AA5" i="1"/>
  <c r="AB5" i="1"/>
  <c r="AD5" i="1"/>
  <c r="AE5" i="1"/>
  <c r="A6" i="1"/>
  <c r="D6" i="1"/>
  <c r="E6" i="1"/>
  <c r="F6" i="1"/>
  <c r="G6" i="1"/>
  <c r="H6" i="1"/>
  <c r="I6" i="1"/>
  <c r="J6" i="1"/>
  <c r="K6" i="1"/>
  <c r="L6" i="1"/>
  <c r="M6" i="1"/>
  <c r="N6" i="1"/>
  <c r="O6" i="1"/>
  <c r="P6" i="1"/>
  <c r="Q6" i="1"/>
  <c r="R6" i="1"/>
  <c r="S6" i="1"/>
  <c r="T6" i="1"/>
  <c r="U6" i="1"/>
  <c r="V6" i="1"/>
  <c r="W6" i="1"/>
  <c r="X6" i="1"/>
  <c r="Y6" i="1"/>
  <c r="Z6" i="1"/>
  <c r="AA6" i="1"/>
  <c r="AB6" i="1"/>
  <c r="AC6" i="1"/>
  <c r="AD6" i="1"/>
  <c r="AE6" i="1"/>
  <c r="A7" i="1"/>
  <c r="D7" i="1"/>
  <c r="E7" i="1"/>
  <c r="F7" i="1"/>
  <c r="G7" i="1"/>
  <c r="H7" i="1"/>
  <c r="I7" i="1"/>
  <c r="J7" i="1"/>
  <c r="K7" i="1"/>
  <c r="L7" i="1"/>
  <c r="M7" i="1"/>
  <c r="N7" i="1"/>
  <c r="O7" i="1"/>
  <c r="P7" i="1"/>
  <c r="Q7" i="1"/>
  <c r="R7" i="1"/>
  <c r="S7" i="1"/>
  <c r="T7" i="1"/>
  <c r="U7" i="1"/>
  <c r="V7" i="1"/>
  <c r="W7" i="1"/>
  <c r="X7" i="1"/>
  <c r="Y7" i="1"/>
  <c r="Z7" i="1"/>
  <c r="AA7" i="1"/>
  <c r="AB7" i="1"/>
  <c r="AC7" i="1"/>
  <c r="AD7" i="1"/>
  <c r="AE7" i="1"/>
  <c r="A8" i="1"/>
  <c r="D8" i="1"/>
  <c r="E8" i="1"/>
  <c r="F8" i="1"/>
  <c r="G8" i="1"/>
  <c r="H8" i="1"/>
  <c r="I8" i="1"/>
  <c r="J8" i="1"/>
  <c r="K8" i="1"/>
  <c r="L8" i="1"/>
  <c r="M8" i="1"/>
  <c r="N8" i="1"/>
  <c r="O8" i="1"/>
  <c r="P8" i="1"/>
  <c r="Q8" i="1"/>
  <c r="R8" i="1"/>
  <c r="S8" i="1"/>
  <c r="T8" i="1"/>
  <c r="U8" i="1"/>
  <c r="V8" i="1"/>
  <c r="W8" i="1"/>
  <c r="X8" i="1"/>
  <c r="Y8" i="1"/>
  <c r="Z8" i="1"/>
  <c r="AA8" i="1"/>
  <c r="AB8" i="1"/>
  <c r="AC8" i="1"/>
  <c r="AD8" i="1"/>
  <c r="AE8" i="1"/>
  <c r="A9" i="1"/>
  <c r="D9" i="1"/>
  <c r="E9" i="1"/>
  <c r="F9" i="1"/>
  <c r="G9" i="1"/>
  <c r="H9" i="1"/>
  <c r="I9" i="1"/>
  <c r="J9" i="1"/>
  <c r="K9" i="1"/>
  <c r="L9" i="1"/>
  <c r="M9" i="1"/>
  <c r="N9" i="1"/>
  <c r="O9" i="1"/>
  <c r="P9" i="1"/>
  <c r="Q9" i="1"/>
  <c r="R9" i="1"/>
  <c r="S9" i="1"/>
  <c r="T9" i="1"/>
  <c r="U9" i="1"/>
  <c r="V9" i="1"/>
  <c r="W9" i="1"/>
  <c r="X9" i="1"/>
  <c r="Y9" i="1"/>
  <c r="Z9" i="1"/>
  <c r="AA9" i="1"/>
  <c r="AB9" i="1"/>
  <c r="AC9" i="1"/>
  <c r="AD9" i="1"/>
  <c r="AE9" i="1"/>
  <c r="A10" i="1"/>
  <c r="D10" i="1"/>
  <c r="E10" i="1"/>
  <c r="F10" i="1"/>
  <c r="G10" i="1"/>
  <c r="H10" i="1"/>
  <c r="I10" i="1"/>
  <c r="J10" i="1"/>
  <c r="K10" i="1"/>
  <c r="L10" i="1"/>
  <c r="M10" i="1"/>
  <c r="N10" i="1"/>
  <c r="O10" i="1"/>
  <c r="P10" i="1"/>
  <c r="Q10" i="1"/>
  <c r="R10" i="1"/>
  <c r="S10" i="1"/>
  <c r="T10" i="1"/>
  <c r="U10" i="1"/>
  <c r="V10" i="1"/>
  <c r="W10" i="1"/>
  <c r="X10" i="1"/>
  <c r="Y10" i="1"/>
  <c r="Z10" i="1"/>
  <c r="AA10" i="1"/>
  <c r="AB10" i="1"/>
  <c r="AC10" i="1"/>
  <c r="AD10" i="1"/>
  <c r="AE10" i="1"/>
  <c r="A11" i="1"/>
  <c r="D11" i="1"/>
  <c r="E11" i="1"/>
  <c r="F11" i="1"/>
  <c r="G11" i="1"/>
  <c r="H11" i="1"/>
  <c r="I11" i="1"/>
  <c r="J11" i="1"/>
  <c r="K11" i="1"/>
  <c r="L11" i="1"/>
  <c r="M11" i="1"/>
  <c r="N11" i="1"/>
  <c r="O11" i="1"/>
  <c r="P11" i="1"/>
  <c r="Q11" i="1"/>
  <c r="R11" i="1"/>
  <c r="S11" i="1"/>
  <c r="T11" i="1"/>
  <c r="U11" i="1"/>
  <c r="V11" i="1"/>
  <c r="W11" i="1"/>
  <c r="X11" i="1"/>
  <c r="Y11" i="1"/>
  <c r="Z11" i="1"/>
  <c r="AA11" i="1"/>
  <c r="AB11" i="1"/>
  <c r="AC11" i="1"/>
  <c r="AD11" i="1"/>
  <c r="AE11" i="1"/>
  <c r="A12" i="1"/>
  <c r="D12" i="1"/>
  <c r="E12" i="1"/>
  <c r="F12" i="1"/>
  <c r="G12" i="1"/>
  <c r="H12" i="1"/>
  <c r="I12" i="1"/>
  <c r="J12" i="1"/>
  <c r="K12" i="1"/>
  <c r="L12" i="1"/>
  <c r="M12" i="1"/>
  <c r="N12" i="1"/>
  <c r="O12" i="1"/>
  <c r="P12" i="1"/>
  <c r="Q12" i="1"/>
  <c r="R12" i="1"/>
  <c r="S12" i="1"/>
  <c r="T12" i="1"/>
  <c r="U12" i="1"/>
  <c r="V12" i="1"/>
  <c r="W12" i="1"/>
  <c r="X12" i="1"/>
  <c r="Y12" i="1"/>
  <c r="Z12" i="1"/>
  <c r="AA12" i="1"/>
  <c r="AB12" i="1"/>
  <c r="AC12" i="1"/>
  <c r="AD12" i="1"/>
  <c r="AE12" i="1"/>
  <c r="A13" i="1"/>
  <c r="D13" i="1"/>
  <c r="E13" i="1"/>
  <c r="F13" i="1"/>
  <c r="G13" i="1"/>
  <c r="H13" i="1"/>
  <c r="I13" i="1"/>
  <c r="J13" i="1"/>
  <c r="K13" i="1"/>
  <c r="L13" i="1"/>
  <c r="M13" i="1"/>
  <c r="N13" i="1"/>
  <c r="O13" i="1"/>
  <c r="P13" i="1"/>
  <c r="Q13" i="1"/>
  <c r="R13" i="1"/>
  <c r="S13" i="1"/>
  <c r="T13" i="1"/>
  <c r="U13" i="1"/>
  <c r="V13" i="1"/>
  <c r="W13" i="1"/>
  <c r="X13" i="1"/>
  <c r="Y13" i="1"/>
  <c r="Z13" i="1"/>
  <c r="AA13" i="1"/>
  <c r="AB13" i="1"/>
  <c r="AC13" i="1"/>
  <c r="AD13" i="1"/>
  <c r="AE13" i="1"/>
  <c r="A14" i="1"/>
  <c r="D14" i="1"/>
  <c r="E14" i="1"/>
  <c r="F14" i="1"/>
  <c r="G14" i="1"/>
  <c r="H14" i="1"/>
  <c r="I14" i="1"/>
  <c r="J14" i="1"/>
  <c r="K14" i="1"/>
  <c r="L14" i="1"/>
  <c r="M14" i="1"/>
  <c r="N14" i="1"/>
  <c r="O14" i="1"/>
  <c r="P14" i="1"/>
  <c r="Q14" i="1"/>
  <c r="R14" i="1"/>
  <c r="S14" i="1"/>
  <c r="T14" i="1"/>
  <c r="U14" i="1"/>
  <c r="V14" i="1"/>
  <c r="W14" i="1"/>
  <c r="X14" i="1"/>
  <c r="Y14" i="1"/>
  <c r="Z14" i="1"/>
  <c r="AA14" i="1"/>
  <c r="AB14" i="1"/>
  <c r="AC14" i="1"/>
  <c r="AD14" i="1"/>
  <c r="AE14" i="1"/>
  <c r="A15" i="1"/>
  <c r="D15" i="1"/>
  <c r="E15" i="1"/>
  <c r="F15" i="1"/>
  <c r="G15" i="1"/>
  <c r="H15" i="1"/>
  <c r="I15" i="1"/>
  <c r="J15" i="1"/>
  <c r="K15" i="1"/>
  <c r="L15" i="1"/>
  <c r="M15" i="1"/>
  <c r="N15" i="1"/>
  <c r="O15" i="1"/>
  <c r="P15" i="1"/>
  <c r="Q15" i="1"/>
  <c r="R15" i="1"/>
  <c r="S15" i="1"/>
  <c r="T15" i="1"/>
  <c r="U15" i="1"/>
  <c r="V15" i="1"/>
  <c r="W15" i="1"/>
  <c r="X15" i="1"/>
  <c r="Y15" i="1"/>
  <c r="Z15" i="1"/>
  <c r="AA15" i="1"/>
  <c r="AB15" i="1"/>
  <c r="AD15" i="1"/>
  <c r="AE15" i="1"/>
  <c r="A16" i="1"/>
  <c r="D16" i="1"/>
  <c r="E16" i="1"/>
  <c r="F16" i="1"/>
  <c r="G16" i="1"/>
  <c r="H16" i="1"/>
  <c r="I16" i="1"/>
  <c r="J16" i="1"/>
  <c r="K16" i="1"/>
  <c r="L16" i="1"/>
  <c r="M16" i="1"/>
  <c r="N16" i="1"/>
  <c r="O16" i="1"/>
  <c r="P16" i="1"/>
  <c r="Q16" i="1"/>
  <c r="R16" i="1"/>
  <c r="S16" i="1"/>
  <c r="T16" i="1"/>
  <c r="U16" i="1"/>
  <c r="V16" i="1"/>
  <c r="W16" i="1"/>
  <c r="X16" i="1"/>
  <c r="Y16" i="1"/>
  <c r="Z16" i="1"/>
  <c r="AA16" i="1"/>
  <c r="AB16" i="1"/>
  <c r="AC16" i="1"/>
  <c r="AD16" i="1"/>
  <c r="AE16" i="1"/>
  <c r="A17" i="1"/>
  <c r="D17" i="1"/>
  <c r="E17" i="1"/>
  <c r="F17" i="1"/>
  <c r="G17" i="1"/>
  <c r="H17" i="1"/>
  <c r="I17" i="1"/>
  <c r="J17" i="1"/>
  <c r="K17" i="1"/>
  <c r="L17" i="1"/>
  <c r="M17" i="1"/>
  <c r="N17" i="1"/>
  <c r="O17" i="1"/>
  <c r="P17" i="1"/>
  <c r="Q17" i="1"/>
  <c r="R17" i="1"/>
  <c r="S17" i="1"/>
  <c r="T17" i="1"/>
  <c r="U17" i="1"/>
  <c r="V17" i="1"/>
  <c r="W17" i="1"/>
  <c r="X17" i="1"/>
  <c r="Y17" i="1"/>
  <c r="Z17" i="1"/>
  <c r="AA17" i="1"/>
  <c r="AB17" i="1"/>
  <c r="AC17" i="1"/>
  <c r="AD17" i="1"/>
  <c r="AE17" i="1"/>
  <c r="A18" i="1"/>
  <c r="D18" i="1"/>
  <c r="E18" i="1"/>
  <c r="F18" i="1"/>
  <c r="G18" i="1"/>
  <c r="H18" i="1"/>
  <c r="I18" i="1"/>
  <c r="J18" i="1"/>
  <c r="K18" i="1"/>
  <c r="L18" i="1"/>
  <c r="M18" i="1"/>
  <c r="N18" i="1"/>
  <c r="O18" i="1"/>
  <c r="P18" i="1"/>
  <c r="Q18" i="1"/>
  <c r="R18" i="1"/>
  <c r="S18" i="1"/>
  <c r="T18" i="1"/>
  <c r="U18" i="1"/>
  <c r="V18" i="1"/>
  <c r="W18" i="1"/>
  <c r="X18" i="1"/>
  <c r="Y18" i="1"/>
  <c r="Z18" i="1"/>
  <c r="AA18" i="1"/>
  <c r="AB18" i="1"/>
  <c r="AC18" i="1"/>
  <c r="AD18" i="1"/>
  <c r="A19" i="1"/>
  <c r="D19" i="1"/>
  <c r="E19" i="1"/>
  <c r="F19" i="1"/>
  <c r="G19" i="1"/>
  <c r="H19" i="1"/>
  <c r="I19" i="1"/>
  <c r="J19" i="1"/>
  <c r="K19" i="1"/>
  <c r="L19" i="1"/>
  <c r="M19" i="1"/>
  <c r="N19" i="1"/>
  <c r="O19" i="1"/>
  <c r="P19" i="1"/>
  <c r="Q19" i="1"/>
  <c r="R19" i="1"/>
  <c r="S19" i="1"/>
  <c r="T19" i="1"/>
  <c r="U19" i="1"/>
  <c r="V19" i="1"/>
  <c r="W19" i="1"/>
  <c r="X19" i="1"/>
  <c r="Y19" i="1"/>
  <c r="Z19" i="1"/>
  <c r="AA19" i="1"/>
  <c r="AB19" i="1"/>
  <c r="AC19" i="1"/>
  <c r="AD19" i="1"/>
  <c r="AE19" i="1"/>
  <c r="A20" i="1"/>
  <c r="D20" i="1"/>
  <c r="E20" i="1"/>
  <c r="F20" i="1"/>
  <c r="G20" i="1"/>
  <c r="H20" i="1"/>
  <c r="I20" i="1"/>
  <c r="J20" i="1"/>
  <c r="K20" i="1"/>
  <c r="L20" i="1"/>
  <c r="M20" i="1"/>
  <c r="N20" i="1"/>
  <c r="O20" i="1"/>
  <c r="P20" i="1"/>
  <c r="Q20" i="1"/>
  <c r="R20" i="1"/>
  <c r="S20" i="1"/>
  <c r="T20" i="1"/>
  <c r="U20" i="1"/>
  <c r="V20" i="1"/>
  <c r="W20" i="1"/>
  <c r="X20" i="1"/>
  <c r="Y20" i="1"/>
  <c r="Z20" i="1"/>
  <c r="AA20" i="1"/>
  <c r="AB20" i="1"/>
  <c r="AC20" i="1"/>
  <c r="AD20" i="1"/>
  <c r="AE20" i="1"/>
  <c r="A21" i="1"/>
  <c r="D21" i="1"/>
  <c r="E21" i="1"/>
  <c r="F21" i="1"/>
  <c r="G21" i="1"/>
  <c r="H21" i="1"/>
  <c r="I21" i="1"/>
  <c r="J21" i="1"/>
  <c r="K21" i="1"/>
  <c r="L21" i="1"/>
  <c r="M21" i="1"/>
  <c r="N21" i="1"/>
  <c r="O21" i="1"/>
  <c r="P21" i="1"/>
  <c r="Q21" i="1"/>
  <c r="R21" i="1"/>
  <c r="S21" i="1"/>
  <c r="T21" i="1"/>
  <c r="U21" i="1"/>
  <c r="V21" i="1"/>
  <c r="W21" i="1"/>
  <c r="X21" i="1"/>
  <c r="Y21" i="1"/>
  <c r="Z21" i="1"/>
  <c r="AA21" i="1"/>
  <c r="AB21" i="1"/>
  <c r="AC21" i="1"/>
  <c r="AD21" i="1"/>
  <c r="AE21" i="1"/>
  <c r="A22" i="1"/>
  <c r="D22" i="1"/>
  <c r="E22" i="1"/>
  <c r="F22" i="1"/>
  <c r="G22" i="1"/>
  <c r="H22" i="1"/>
  <c r="I22" i="1"/>
  <c r="J22" i="1"/>
  <c r="K22" i="1"/>
  <c r="L22" i="1"/>
  <c r="M22" i="1"/>
  <c r="N22" i="1"/>
  <c r="O22" i="1"/>
  <c r="P22" i="1"/>
  <c r="Q22" i="1"/>
  <c r="R22" i="1"/>
  <c r="S22" i="1"/>
  <c r="T22" i="1"/>
  <c r="U22" i="1"/>
  <c r="V22" i="1"/>
  <c r="W22" i="1"/>
  <c r="X22" i="1"/>
  <c r="Y22" i="1"/>
  <c r="Z22" i="1"/>
  <c r="AA22" i="1"/>
  <c r="AB22" i="1"/>
  <c r="AC22" i="1"/>
  <c r="AD22" i="1"/>
  <c r="AE22" i="1"/>
  <c r="A23" i="1"/>
  <c r="D23"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A24" i="1"/>
  <c r="D24" i="1"/>
  <c r="E24" i="1"/>
  <c r="F24" i="1"/>
  <c r="G24" i="1"/>
  <c r="H24" i="1"/>
  <c r="I24" i="1"/>
  <c r="J24" i="1"/>
  <c r="K24" i="1"/>
  <c r="L24" i="1"/>
  <c r="M24" i="1"/>
  <c r="N24" i="1"/>
  <c r="O24" i="1"/>
  <c r="P24" i="1"/>
  <c r="Q24" i="1"/>
  <c r="R24" i="1"/>
  <c r="S24" i="1"/>
  <c r="T24" i="1"/>
  <c r="U24" i="1"/>
  <c r="V24" i="1"/>
  <c r="W24" i="1"/>
  <c r="X24" i="1"/>
  <c r="Y24" i="1"/>
  <c r="Z24" i="1"/>
  <c r="AA24" i="1"/>
  <c r="AB24" i="1"/>
  <c r="AC24" i="1"/>
  <c r="AD24" i="1"/>
  <c r="AE24" i="1"/>
  <c r="A25" i="1"/>
  <c r="D25" i="1"/>
  <c r="E25" i="1"/>
  <c r="F25" i="1"/>
  <c r="G25" i="1"/>
  <c r="H25" i="1"/>
  <c r="I25" i="1"/>
  <c r="J25" i="1"/>
  <c r="K25" i="1"/>
  <c r="L25" i="1"/>
  <c r="M25" i="1"/>
  <c r="N25" i="1"/>
  <c r="O25" i="1"/>
  <c r="P25" i="1"/>
  <c r="Q25" i="1"/>
  <c r="R25" i="1"/>
  <c r="S25" i="1"/>
  <c r="T25" i="1"/>
  <c r="U25" i="1"/>
  <c r="V25" i="1"/>
  <c r="W25" i="1"/>
  <c r="X25" i="1"/>
  <c r="Y25" i="1"/>
  <c r="Z25" i="1"/>
  <c r="AA25" i="1"/>
  <c r="AB25" i="1"/>
  <c r="AC25" i="1"/>
  <c r="AD25" i="1"/>
  <c r="AE25" i="1"/>
  <c r="A26" i="1"/>
  <c r="D26" i="1"/>
  <c r="E26" i="1"/>
  <c r="F26" i="1"/>
  <c r="G26" i="1"/>
  <c r="H26" i="1"/>
  <c r="I26" i="1"/>
  <c r="J26" i="1"/>
  <c r="K26" i="1"/>
  <c r="L26" i="1"/>
  <c r="M26" i="1"/>
  <c r="N26" i="1"/>
  <c r="O26" i="1"/>
  <c r="P26" i="1"/>
  <c r="Q26" i="1"/>
  <c r="R26" i="1"/>
  <c r="S26" i="1"/>
  <c r="T26" i="1"/>
  <c r="U26" i="1"/>
  <c r="V26" i="1"/>
  <c r="W26" i="1"/>
  <c r="X26" i="1"/>
  <c r="Y26" i="1"/>
  <c r="Z26" i="1"/>
  <c r="AA26" i="1"/>
  <c r="AB26" i="1"/>
  <c r="AC26" i="1"/>
  <c r="AD26" i="1"/>
  <c r="AE26" i="1"/>
  <c r="A27" i="1"/>
  <c r="D27" i="1"/>
  <c r="E27" i="1"/>
  <c r="F27" i="1"/>
  <c r="G27" i="1"/>
  <c r="H27" i="1"/>
  <c r="I27" i="1"/>
  <c r="J27" i="1"/>
  <c r="K27" i="1"/>
  <c r="L27" i="1"/>
  <c r="M27" i="1"/>
  <c r="N27" i="1"/>
  <c r="O27" i="1"/>
  <c r="P27" i="1"/>
  <c r="Q27" i="1"/>
  <c r="R27" i="1"/>
  <c r="S27" i="1"/>
  <c r="T27" i="1"/>
  <c r="U27" i="1"/>
  <c r="V27" i="1"/>
  <c r="W27" i="1"/>
  <c r="X27" i="1"/>
  <c r="Y27" i="1"/>
  <c r="Z27" i="1"/>
  <c r="AA27" i="1"/>
  <c r="AB27" i="1"/>
  <c r="AC27" i="1"/>
  <c r="AD27" i="1"/>
  <c r="A28" i="1"/>
  <c r="D28" i="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29" i="1"/>
  <c r="D29" i="1"/>
  <c r="E29" i="1"/>
  <c r="F29" i="1"/>
  <c r="G29" i="1"/>
  <c r="H29" i="1"/>
  <c r="I29" i="1"/>
  <c r="J29" i="1"/>
  <c r="K29" i="1"/>
  <c r="L29" i="1"/>
  <c r="M29" i="1"/>
  <c r="N29" i="1"/>
  <c r="O29" i="1"/>
  <c r="P29" i="1"/>
  <c r="Q29" i="1"/>
  <c r="R29" i="1"/>
  <c r="S29" i="1"/>
  <c r="T29" i="1"/>
  <c r="U29" i="1"/>
  <c r="V29" i="1"/>
  <c r="W29" i="1"/>
  <c r="X29" i="1"/>
  <c r="Y29" i="1"/>
  <c r="Z29" i="1"/>
  <c r="AA29" i="1"/>
  <c r="AB29" i="1"/>
  <c r="AC29" i="1"/>
  <c r="AD29" i="1"/>
  <c r="AE29" i="1"/>
  <c r="A30" i="1"/>
  <c r="D30" i="1"/>
  <c r="E30" i="1"/>
  <c r="F30" i="1"/>
  <c r="G30" i="1"/>
  <c r="H30" i="1"/>
  <c r="I30" i="1"/>
  <c r="J30" i="1"/>
  <c r="K30" i="1"/>
  <c r="L30" i="1"/>
  <c r="M30" i="1"/>
  <c r="N30" i="1"/>
  <c r="O30" i="1"/>
  <c r="P30" i="1"/>
  <c r="Q30" i="1"/>
  <c r="R30" i="1"/>
  <c r="S30" i="1"/>
  <c r="T30" i="1"/>
  <c r="U30" i="1"/>
  <c r="V30" i="1"/>
  <c r="W30" i="1"/>
  <c r="X30" i="1"/>
  <c r="Y30" i="1"/>
  <c r="Z30" i="1"/>
  <c r="AA30" i="1"/>
  <c r="AB30" i="1"/>
  <c r="AC30" i="1"/>
  <c r="AD30" i="1"/>
  <c r="AE30" i="1"/>
  <c r="A31" i="1"/>
  <c r="D31" i="1"/>
  <c r="E31" i="1"/>
  <c r="F31" i="1"/>
  <c r="G31" i="1"/>
  <c r="H31" i="1"/>
  <c r="I31" i="1"/>
  <c r="J31" i="1"/>
  <c r="K31" i="1"/>
  <c r="L31" i="1"/>
  <c r="M31" i="1"/>
  <c r="N31" i="1"/>
  <c r="O31" i="1"/>
  <c r="P31" i="1"/>
  <c r="Q31" i="1"/>
  <c r="R31" i="1"/>
  <c r="S31" i="1"/>
  <c r="T31" i="1"/>
  <c r="U31" i="1"/>
  <c r="V31" i="1"/>
  <c r="W31" i="1"/>
  <c r="X31" i="1"/>
  <c r="Y31" i="1"/>
  <c r="Z31" i="1"/>
  <c r="AA31" i="1"/>
  <c r="AB31" i="1"/>
  <c r="AD31" i="1"/>
  <c r="AE31" i="1"/>
  <c r="A32" i="1"/>
  <c r="D32" i="1"/>
  <c r="E32" i="1"/>
  <c r="F32" i="1"/>
  <c r="G32" i="1"/>
  <c r="H32" i="1"/>
  <c r="I32" i="1"/>
  <c r="J32" i="1"/>
  <c r="K32" i="1"/>
  <c r="L32" i="1"/>
  <c r="M32" i="1"/>
  <c r="N32" i="1"/>
  <c r="O32" i="1"/>
  <c r="P32" i="1"/>
  <c r="Q32" i="1"/>
  <c r="R32" i="1"/>
  <c r="S32" i="1"/>
  <c r="T32" i="1"/>
  <c r="U32" i="1"/>
  <c r="V32" i="1"/>
  <c r="W32" i="1"/>
  <c r="X32" i="1"/>
  <c r="Y32" i="1"/>
  <c r="Z32" i="1"/>
  <c r="AA32" i="1"/>
  <c r="AB32" i="1"/>
  <c r="AC32" i="1"/>
  <c r="AD32" i="1"/>
  <c r="AE32" i="1"/>
  <c r="A33" i="1"/>
  <c r="D33" i="1"/>
  <c r="E33" i="1"/>
  <c r="F33" i="1"/>
  <c r="G33" i="1"/>
  <c r="H33" i="1"/>
  <c r="I33" i="1"/>
  <c r="J33" i="1"/>
  <c r="K33" i="1"/>
  <c r="L33" i="1"/>
  <c r="M33" i="1"/>
  <c r="N33" i="1"/>
  <c r="O33" i="1"/>
  <c r="P33" i="1"/>
  <c r="Q33" i="1"/>
  <c r="R33" i="1"/>
  <c r="S33" i="1"/>
  <c r="T33" i="1"/>
  <c r="U33" i="1"/>
  <c r="V33" i="1"/>
  <c r="W33" i="1"/>
  <c r="X33" i="1"/>
  <c r="Y33" i="1"/>
  <c r="Z33" i="1"/>
  <c r="AA33" i="1"/>
  <c r="AB33" i="1"/>
  <c r="AC33" i="1"/>
  <c r="AD33" i="1"/>
  <c r="AE33" i="1"/>
  <c r="A34" i="1"/>
  <c r="D34" i="1"/>
  <c r="E34" i="1"/>
  <c r="F34" i="1"/>
  <c r="G34" i="1"/>
  <c r="H34" i="1"/>
  <c r="I34" i="1"/>
  <c r="J34" i="1"/>
  <c r="K34" i="1"/>
  <c r="L34" i="1"/>
  <c r="M34" i="1"/>
  <c r="N34" i="1"/>
  <c r="O34" i="1"/>
  <c r="P34" i="1"/>
  <c r="Q34" i="1"/>
  <c r="R34" i="1"/>
  <c r="S34" i="1"/>
  <c r="T34" i="1"/>
  <c r="U34" i="1"/>
  <c r="V34" i="1"/>
  <c r="W34" i="1"/>
  <c r="X34" i="1"/>
  <c r="Y34" i="1"/>
  <c r="Z34" i="1"/>
  <c r="AA34" i="1"/>
  <c r="AB34" i="1"/>
  <c r="AC34" i="1"/>
  <c r="AD34" i="1"/>
  <c r="AE34" i="1"/>
  <c r="A35" i="1"/>
  <c r="D35" i="1"/>
  <c r="E35" i="1"/>
  <c r="F35" i="1"/>
  <c r="G35" i="1"/>
  <c r="H35" i="1"/>
  <c r="I35" i="1"/>
  <c r="J35" i="1"/>
  <c r="K35" i="1"/>
  <c r="L35" i="1"/>
  <c r="M35" i="1"/>
  <c r="N35" i="1"/>
  <c r="O35" i="1"/>
  <c r="P35" i="1"/>
  <c r="Q35" i="1"/>
  <c r="R35" i="1"/>
  <c r="S35" i="1"/>
  <c r="T35" i="1"/>
  <c r="U35" i="1"/>
  <c r="V35" i="1"/>
  <c r="W35" i="1"/>
  <c r="X35" i="1"/>
  <c r="Y35" i="1"/>
  <c r="Z35" i="1"/>
  <c r="AA35" i="1"/>
  <c r="AB35" i="1"/>
  <c r="AC35" i="1"/>
  <c r="AD35" i="1"/>
  <c r="AE35" i="1"/>
  <c r="A36" i="1"/>
  <c r="D36" i="1"/>
  <c r="E36" i="1"/>
  <c r="F36" i="1"/>
  <c r="G36" i="1"/>
  <c r="H36" i="1"/>
  <c r="I36" i="1"/>
  <c r="J36" i="1"/>
  <c r="K36" i="1"/>
  <c r="L36" i="1"/>
  <c r="M36" i="1"/>
  <c r="N36" i="1"/>
  <c r="O36" i="1"/>
  <c r="P36" i="1"/>
  <c r="Q36" i="1"/>
  <c r="R36" i="1"/>
  <c r="S36" i="1"/>
  <c r="T36" i="1"/>
  <c r="U36" i="1"/>
  <c r="V36" i="1"/>
  <c r="W36" i="1"/>
  <c r="X36" i="1"/>
  <c r="Y36" i="1"/>
  <c r="Z36" i="1"/>
  <c r="AA36" i="1"/>
  <c r="AB36" i="1"/>
  <c r="AC36" i="1"/>
  <c r="AD36" i="1"/>
  <c r="AE36" i="1"/>
  <c r="A37" i="1"/>
  <c r="D37" i="1"/>
  <c r="E37" i="1"/>
  <c r="F37" i="1"/>
  <c r="G37" i="1"/>
  <c r="H37" i="1"/>
  <c r="I37" i="1"/>
  <c r="J37" i="1"/>
  <c r="K37" i="1"/>
  <c r="L37" i="1"/>
  <c r="M37" i="1"/>
  <c r="N37" i="1"/>
  <c r="O37" i="1"/>
  <c r="P37" i="1"/>
  <c r="Q37" i="1"/>
  <c r="R37" i="1"/>
  <c r="S37" i="1"/>
  <c r="T37" i="1"/>
  <c r="U37" i="1"/>
  <c r="V37" i="1"/>
  <c r="W37" i="1"/>
  <c r="X37" i="1"/>
  <c r="Y37" i="1"/>
  <c r="Z37" i="1"/>
  <c r="AA37" i="1"/>
  <c r="AB37" i="1"/>
  <c r="AC37" i="1"/>
  <c r="AD37" i="1"/>
  <c r="AE37" i="1"/>
  <c r="A38" i="1"/>
  <c r="D38" i="1"/>
  <c r="E38" i="1"/>
  <c r="F38" i="1"/>
  <c r="G38" i="1"/>
  <c r="H38" i="1"/>
  <c r="I38" i="1"/>
  <c r="J38" i="1"/>
  <c r="K38" i="1"/>
  <c r="L38" i="1"/>
  <c r="M38" i="1"/>
  <c r="N38" i="1"/>
  <c r="O38" i="1"/>
  <c r="P38" i="1"/>
  <c r="Q38" i="1"/>
  <c r="R38" i="1"/>
  <c r="S38" i="1"/>
  <c r="T38" i="1"/>
  <c r="U38" i="1"/>
  <c r="V38" i="1"/>
  <c r="W38" i="1"/>
  <c r="X38" i="1"/>
  <c r="Y38" i="1"/>
  <c r="Z38" i="1"/>
  <c r="AA38" i="1"/>
  <c r="AB38" i="1"/>
  <c r="AC38" i="1"/>
  <c r="AD38" i="1"/>
  <c r="AE38" i="1"/>
  <c r="A39" i="1"/>
  <c r="D39" i="1"/>
  <c r="E39" i="1"/>
  <c r="F39" i="1"/>
  <c r="G39" i="1"/>
  <c r="H39" i="1"/>
  <c r="I39" i="1"/>
  <c r="J39" i="1"/>
  <c r="K39" i="1"/>
  <c r="L39" i="1"/>
  <c r="M39" i="1"/>
  <c r="N39" i="1"/>
  <c r="O39" i="1"/>
  <c r="P39" i="1"/>
  <c r="Q39" i="1"/>
  <c r="R39" i="1"/>
  <c r="S39" i="1"/>
  <c r="T39" i="1"/>
  <c r="U39" i="1"/>
  <c r="V39" i="1"/>
  <c r="W39" i="1"/>
  <c r="X39" i="1"/>
  <c r="Y39" i="1"/>
  <c r="Z39" i="1"/>
  <c r="AA39" i="1"/>
  <c r="AB39" i="1"/>
  <c r="AC39" i="1"/>
  <c r="AD39" i="1"/>
  <c r="AE39" i="1"/>
  <c r="A40" i="1"/>
  <c r="D40" i="1"/>
  <c r="E40" i="1"/>
  <c r="F40" i="1"/>
  <c r="G40" i="1"/>
  <c r="H40" i="1"/>
  <c r="I40" i="1"/>
  <c r="J40" i="1"/>
  <c r="K40" i="1"/>
  <c r="L40" i="1"/>
  <c r="M40" i="1"/>
  <c r="N40" i="1"/>
  <c r="O40" i="1"/>
  <c r="P40" i="1"/>
  <c r="Q40" i="1"/>
  <c r="R40" i="1"/>
  <c r="S40" i="1"/>
  <c r="T40" i="1"/>
  <c r="U40" i="1"/>
  <c r="V40" i="1"/>
  <c r="W40" i="1"/>
  <c r="X40" i="1"/>
  <c r="Y40" i="1"/>
  <c r="Z40" i="1"/>
  <c r="AA40" i="1"/>
  <c r="AB40" i="1"/>
  <c r="AC40" i="1"/>
  <c r="AD40" i="1"/>
  <c r="AE40" i="1"/>
  <c r="A41" i="1"/>
  <c r="D41" i="1"/>
  <c r="E41" i="1"/>
  <c r="F41" i="1"/>
  <c r="G41" i="1"/>
  <c r="H41" i="1"/>
  <c r="I41" i="1"/>
  <c r="J41" i="1"/>
  <c r="K41" i="1"/>
  <c r="L41" i="1"/>
  <c r="M41" i="1"/>
  <c r="N41" i="1"/>
  <c r="O41" i="1"/>
  <c r="P41" i="1"/>
  <c r="Q41" i="1"/>
  <c r="R41" i="1"/>
  <c r="S41" i="1"/>
  <c r="T41" i="1"/>
  <c r="U41" i="1"/>
  <c r="V41" i="1"/>
  <c r="W41" i="1"/>
  <c r="X41" i="1"/>
  <c r="Y41" i="1"/>
  <c r="Z41" i="1"/>
  <c r="AA41" i="1"/>
  <c r="AB41" i="1"/>
  <c r="AC41" i="1"/>
  <c r="AD41" i="1"/>
  <c r="AE41" i="1"/>
  <c r="A42" i="1"/>
  <c r="D42" i="1"/>
  <c r="E42" i="1"/>
  <c r="F42" i="1"/>
  <c r="G42" i="1"/>
  <c r="H42" i="1"/>
  <c r="I42" i="1"/>
  <c r="J42" i="1"/>
  <c r="K42" i="1"/>
  <c r="L42" i="1"/>
  <c r="M42" i="1"/>
  <c r="N42" i="1"/>
  <c r="O42" i="1"/>
  <c r="P42" i="1"/>
  <c r="Q42" i="1"/>
  <c r="R42" i="1"/>
  <c r="S42" i="1"/>
  <c r="T42" i="1"/>
  <c r="U42" i="1"/>
  <c r="V42" i="1"/>
  <c r="W42" i="1"/>
  <c r="X42" i="1"/>
  <c r="Y42" i="1"/>
  <c r="Z42" i="1"/>
  <c r="AA42" i="1"/>
  <c r="AB42" i="1"/>
  <c r="AC42" i="1"/>
  <c r="AD42" i="1"/>
  <c r="AE42" i="1"/>
  <c r="A43" i="1"/>
  <c r="D43" i="1"/>
  <c r="E43" i="1"/>
  <c r="F43" i="1"/>
  <c r="G43" i="1"/>
  <c r="H43" i="1"/>
  <c r="I43" i="1"/>
  <c r="J43" i="1"/>
  <c r="K43" i="1"/>
  <c r="L43" i="1"/>
  <c r="M43" i="1"/>
  <c r="N43" i="1"/>
  <c r="O43" i="1"/>
  <c r="P43" i="1"/>
  <c r="Q43" i="1"/>
  <c r="R43" i="1"/>
  <c r="S43" i="1"/>
  <c r="T43" i="1"/>
  <c r="U43" i="1"/>
  <c r="V43" i="1"/>
  <c r="W43" i="1"/>
  <c r="X43" i="1"/>
  <c r="Y43" i="1"/>
  <c r="Z43" i="1"/>
  <c r="AA43" i="1"/>
  <c r="AB43" i="1"/>
  <c r="AC43" i="1"/>
  <c r="AD43" i="1"/>
  <c r="AE43" i="1"/>
  <c r="A44" i="1"/>
  <c r="D44" i="1"/>
  <c r="E44" i="1"/>
  <c r="F44" i="1"/>
  <c r="G44" i="1"/>
  <c r="H44" i="1"/>
  <c r="I44" i="1"/>
  <c r="J44" i="1"/>
  <c r="K44" i="1"/>
  <c r="L44" i="1"/>
  <c r="M44" i="1"/>
  <c r="N44" i="1"/>
  <c r="O44" i="1"/>
  <c r="P44" i="1"/>
  <c r="Q44" i="1"/>
  <c r="R44" i="1"/>
  <c r="S44" i="1"/>
  <c r="T44" i="1"/>
  <c r="U44" i="1"/>
  <c r="V44" i="1"/>
  <c r="W44" i="1"/>
  <c r="X44" i="1"/>
  <c r="Y44" i="1"/>
  <c r="Z44" i="1"/>
  <c r="AA44" i="1"/>
  <c r="AB44" i="1"/>
  <c r="AC44" i="1"/>
  <c r="AD44" i="1"/>
  <c r="AE44" i="1"/>
  <c r="A45" i="1"/>
  <c r="D45" i="1"/>
  <c r="E45" i="1"/>
  <c r="F45" i="1"/>
  <c r="G45" i="1"/>
  <c r="H45" i="1"/>
  <c r="I45" i="1"/>
  <c r="J45" i="1"/>
  <c r="K45" i="1"/>
  <c r="L45" i="1"/>
  <c r="M45" i="1"/>
  <c r="N45" i="1"/>
  <c r="O45" i="1"/>
  <c r="P45" i="1"/>
  <c r="Q45" i="1"/>
  <c r="R45" i="1"/>
  <c r="S45" i="1"/>
  <c r="T45" i="1"/>
  <c r="U45" i="1"/>
  <c r="V45" i="1"/>
  <c r="W45" i="1"/>
  <c r="X45" i="1"/>
  <c r="Y45" i="1"/>
  <c r="Z45" i="1"/>
  <c r="AA45" i="1"/>
  <c r="AB45" i="1"/>
  <c r="AC45" i="1"/>
  <c r="AD45" i="1"/>
  <c r="AE45" i="1"/>
  <c r="A46" i="1"/>
  <c r="D46" i="1"/>
  <c r="E46" i="1"/>
  <c r="F46" i="1"/>
  <c r="G46" i="1"/>
  <c r="H46" i="1"/>
  <c r="I46" i="1"/>
  <c r="J46" i="1"/>
  <c r="K46" i="1"/>
  <c r="L46" i="1"/>
  <c r="M46" i="1"/>
  <c r="N46" i="1"/>
  <c r="O46" i="1"/>
  <c r="P46" i="1"/>
  <c r="Q46" i="1"/>
  <c r="R46" i="1"/>
  <c r="S46" i="1"/>
  <c r="T46" i="1"/>
  <c r="U46" i="1"/>
  <c r="V46" i="1"/>
  <c r="W46" i="1"/>
  <c r="X46" i="1"/>
  <c r="Y46" i="1"/>
  <c r="Z46" i="1"/>
  <c r="AA46" i="1"/>
  <c r="AB46" i="1"/>
  <c r="AC46" i="1"/>
  <c r="AD46" i="1"/>
  <c r="AE46" i="1"/>
  <c r="A47" i="1"/>
  <c r="D47" i="1"/>
  <c r="E47" i="1"/>
  <c r="F47" i="1"/>
  <c r="G47" i="1"/>
  <c r="H47" i="1"/>
  <c r="I47" i="1"/>
  <c r="J47" i="1"/>
  <c r="K47" i="1"/>
  <c r="L47" i="1"/>
  <c r="M47" i="1"/>
  <c r="N47" i="1"/>
  <c r="O47" i="1"/>
  <c r="P47" i="1"/>
  <c r="Q47" i="1"/>
  <c r="R47" i="1"/>
  <c r="S47" i="1"/>
  <c r="T47" i="1"/>
  <c r="U47" i="1"/>
  <c r="V47" i="1"/>
  <c r="W47" i="1"/>
  <c r="X47" i="1"/>
  <c r="Y47" i="1"/>
  <c r="Z47" i="1"/>
  <c r="AA47" i="1"/>
  <c r="AB47" i="1"/>
  <c r="AC47" i="1"/>
  <c r="AD47" i="1"/>
  <c r="AE47" i="1"/>
  <c r="A48" i="1"/>
  <c r="D48" i="1"/>
  <c r="E48" i="1"/>
  <c r="F48" i="1"/>
  <c r="G48" i="1"/>
  <c r="H48" i="1"/>
  <c r="I48" i="1"/>
  <c r="J48" i="1"/>
  <c r="K48" i="1"/>
  <c r="L48" i="1"/>
  <c r="M48" i="1"/>
  <c r="N48" i="1"/>
  <c r="O48" i="1"/>
  <c r="P48" i="1"/>
  <c r="Q48" i="1"/>
  <c r="R48" i="1"/>
  <c r="S48" i="1"/>
  <c r="T48" i="1"/>
  <c r="U48" i="1"/>
  <c r="V48" i="1"/>
  <c r="W48" i="1"/>
  <c r="X48" i="1"/>
  <c r="Y48" i="1"/>
  <c r="Z48" i="1"/>
  <c r="AA48" i="1"/>
  <c r="AB48" i="1"/>
  <c r="AC48" i="1"/>
  <c r="AD48" i="1"/>
  <c r="AE48" i="1"/>
  <c r="A49" i="1"/>
  <c r="D49" i="1"/>
  <c r="E49" i="1"/>
  <c r="F49" i="1"/>
  <c r="G49" i="1"/>
  <c r="H49" i="1"/>
  <c r="I49" i="1"/>
  <c r="J49" i="1"/>
  <c r="K49" i="1"/>
  <c r="L49" i="1"/>
  <c r="M49" i="1"/>
  <c r="N49" i="1"/>
  <c r="O49" i="1"/>
  <c r="P49" i="1"/>
  <c r="Q49" i="1"/>
  <c r="R49" i="1"/>
  <c r="S49" i="1"/>
  <c r="T49" i="1"/>
  <c r="U49" i="1"/>
  <c r="V49" i="1"/>
  <c r="W49" i="1"/>
  <c r="X49" i="1"/>
  <c r="Y49" i="1"/>
  <c r="Z49" i="1"/>
  <c r="AA49" i="1"/>
  <c r="AB49" i="1"/>
  <c r="AC49" i="1"/>
  <c r="AD49" i="1"/>
  <c r="AE49" i="1"/>
  <c r="A50" i="1"/>
  <c r="D50" i="1"/>
  <c r="E50" i="1"/>
  <c r="F50" i="1"/>
  <c r="G50" i="1"/>
  <c r="H50" i="1"/>
  <c r="I50" i="1"/>
  <c r="J50" i="1"/>
  <c r="K50" i="1"/>
  <c r="L50" i="1"/>
  <c r="M50" i="1"/>
  <c r="N50" i="1"/>
  <c r="O50" i="1"/>
  <c r="P50" i="1"/>
  <c r="Q50" i="1"/>
  <c r="R50" i="1"/>
  <c r="S50" i="1"/>
  <c r="T50" i="1"/>
  <c r="U50" i="1"/>
  <c r="V50" i="1"/>
  <c r="W50" i="1"/>
  <c r="X50" i="1"/>
  <c r="Y50" i="1"/>
  <c r="Z50" i="1"/>
  <c r="AA50" i="1"/>
  <c r="AB50" i="1"/>
  <c r="AC50" i="1"/>
  <c r="AD50" i="1"/>
  <c r="AE50" i="1"/>
  <c r="A51" i="1"/>
  <c r="D51" i="1"/>
  <c r="E51" i="1"/>
  <c r="F51" i="1"/>
  <c r="G51" i="1"/>
  <c r="H51" i="1"/>
  <c r="I51" i="1"/>
  <c r="J51" i="1"/>
  <c r="K51" i="1"/>
  <c r="L51" i="1"/>
  <c r="M51" i="1"/>
  <c r="N51" i="1"/>
  <c r="O51" i="1"/>
  <c r="P51" i="1"/>
  <c r="Q51" i="1"/>
  <c r="R51" i="1"/>
  <c r="S51" i="1"/>
  <c r="T51" i="1"/>
  <c r="U51" i="1"/>
  <c r="V51" i="1"/>
  <c r="W51" i="1"/>
  <c r="X51" i="1"/>
  <c r="Y51" i="1"/>
  <c r="Z51" i="1"/>
  <c r="AA51" i="1"/>
  <c r="AB51" i="1"/>
  <c r="AC51" i="1"/>
  <c r="AD51" i="1"/>
  <c r="AE51" i="1"/>
  <c r="A52" i="1"/>
  <c r="D52" i="1"/>
  <c r="E52" i="1"/>
  <c r="F52" i="1"/>
  <c r="G52" i="1"/>
  <c r="H52" i="1"/>
  <c r="I52" i="1"/>
  <c r="J52" i="1"/>
  <c r="K52" i="1"/>
  <c r="L52" i="1"/>
  <c r="M52" i="1"/>
  <c r="N52" i="1"/>
  <c r="O52" i="1"/>
  <c r="P52" i="1"/>
  <c r="Q52" i="1"/>
  <c r="R52" i="1"/>
  <c r="S52" i="1"/>
  <c r="T52" i="1"/>
  <c r="U52" i="1"/>
  <c r="V52" i="1"/>
  <c r="W52" i="1"/>
  <c r="X52" i="1"/>
  <c r="Y52" i="1"/>
  <c r="Z52" i="1"/>
  <c r="AA52" i="1"/>
  <c r="AB52" i="1"/>
  <c r="AC52" i="1"/>
  <c r="AD52" i="1"/>
  <c r="AE52" i="1"/>
  <c r="A53" i="1"/>
  <c r="D53" i="1"/>
  <c r="E53" i="1"/>
  <c r="F53" i="1"/>
  <c r="G53" i="1"/>
  <c r="H53" i="1"/>
  <c r="I53" i="1"/>
  <c r="J53" i="1"/>
  <c r="K53" i="1"/>
  <c r="L53" i="1"/>
  <c r="M53" i="1"/>
  <c r="N53" i="1"/>
  <c r="O53" i="1"/>
  <c r="P53" i="1"/>
  <c r="Q53" i="1"/>
  <c r="R53" i="1"/>
  <c r="S53" i="1"/>
  <c r="T53" i="1"/>
  <c r="U53" i="1"/>
  <c r="V53" i="1"/>
  <c r="W53" i="1"/>
  <c r="X53" i="1"/>
  <c r="Y53" i="1"/>
  <c r="Z53" i="1"/>
  <c r="AA53" i="1"/>
  <c r="AB53" i="1"/>
  <c r="AC53" i="1"/>
  <c r="AD53" i="1"/>
  <c r="AE53" i="1"/>
  <c r="A54" i="1"/>
  <c r="D54" i="1"/>
  <c r="E54" i="1"/>
  <c r="F54" i="1"/>
  <c r="G54" i="1"/>
  <c r="H54" i="1"/>
  <c r="I54" i="1"/>
  <c r="J54" i="1"/>
  <c r="K54" i="1"/>
  <c r="L54" i="1"/>
  <c r="M54" i="1"/>
  <c r="N54" i="1"/>
  <c r="O54" i="1"/>
  <c r="P54" i="1"/>
  <c r="Q54" i="1"/>
  <c r="R54" i="1"/>
  <c r="S54" i="1"/>
  <c r="T54" i="1"/>
  <c r="U54" i="1"/>
  <c r="V54" i="1"/>
  <c r="W54" i="1"/>
  <c r="X54" i="1"/>
  <c r="Y54" i="1"/>
  <c r="Z54" i="1"/>
  <c r="AA54" i="1"/>
  <c r="AB54" i="1"/>
  <c r="AC54" i="1"/>
  <c r="AD54" i="1"/>
  <c r="AE54" i="1"/>
  <c r="A55" i="1"/>
  <c r="D55" i="1"/>
  <c r="E55" i="1"/>
  <c r="F55" i="1"/>
  <c r="G55" i="1"/>
  <c r="H55" i="1"/>
  <c r="I55" i="1"/>
  <c r="J55" i="1"/>
  <c r="K55" i="1"/>
  <c r="L55" i="1"/>
  <c r="M55" i="1"/>
  <c r="N55" i="1"/>
  <c r="O55" i="1"/>
  <c r="P55" i="1"/>
  <c r="Q55" i="1"/>
  <c r="R55" i="1"/>
  <c r="S55" i="1"/>
  <c r="T55" i="1"/>
  <c r="U55" i="1"/>
  <c r="V55" i="1"/>
  <c r="W55" i="1"/>
  <c r="X55" i="1"/>
  <c r="Y55" i="1"/>
  <c r="Z55" i="1"/>
  <c r="AA55" i="1"/>
  <c r="AB55" i="1"/>
  <c r="AC55" i="1"/>
  <c r="AD55" i="1"/>
  <c r="AE55" i="1"/>
  <c r="A56" i="1"/>
  <c r="D56" i="1"/>
  <c r="E56" i="1"/>
  <c r="F56" i="1"/>
  <c r="G56" i="1"/>
  <c r="H56" i="1"/>
  <c r="I56" i="1"/>
  <c r="J56" i="1"/>
  <c r="K56" i="1"/>
  <c r="L56" i="1"/>
  <c r="M56" i="1"/>
  <c r="N56" i="1"/>
  <c r="O56" i="1"/>
  <c r="P56" i="1"/>
  <c r="Q56" i="1"/>
  <c r="R56" i="1"/>
  <c r="S56" i="1"/>
  <c r="T56" i="1"/>
  <c r="U56" i="1"/>
  <c r="V56" i="1"/>
  <c r="W56" i="1"/>
  <c r="X56" i="1"/>
  <c r="Y56" i="1"/>
  <c r="Z56" i="1"/>
  <c r="AA56" i="1"/>
  <c r="AB56" i="1"/>
  <c r="AC56" i="1"/>
  <c r="AD56" i="1"/>
  <c r="AE56" i="1"/>
  <c r="A57" i="1"/>
  <c r="D57" i="1"/>
  <c r="E57" i="1"/>
  <c r="F57" i="1"/>
  <c r="G57" i="1"/>
  <c r="H57" i="1"/>
  <c r="I57" i="1"/>
  <c r="J57" i="1"/>
  <c r="K57" i="1"/>
  <c r="L57" i="1"/>
  <c r="M57" i="1"/>
  <c r="N57" i="1"/>
  <c r="O57" i="1"/>
  <c r="P57" i="1"/>
  <c r="Q57" i="1"/>
  <c r="R57" i="1"/>
  <c r="S57" i="1"/>
  <c r="T57" i="1"/>
  <c r="U57" i="1"/>
  <c r="V57" i="1"/>
  <c r="W57" i="1"/>
  <c r="X57" i="1"/>
  <c r="Y57" i="1"/>
  <c r="Z57" i="1"/>
  <c r="AA57" i="1"/>
  <c r="AB57" i="1"/>
  <c r="AC57" i="1"/>
  <c r="AD57" i="1"/>
  <c r="AE57" i="1"/>
  <c r="A58" i="1"/>
  <c r="D58" i="1"/>
  <c r="E58" i="1"/>
  <c r="F58" i="1"/>
  <c r="G58" i="1"/>
  <c r="H58" i="1"/>
  <c r="I58" i="1"/>
  <c r="J58" i="1"/>
  <c r="K58" i="1"/>
  <c r="L58" i="1"/>
  <c r="M58" i="1"/>
  <c r="N58" i="1"/>
  <c r="O58" i="1"/>
  <c r="P58" i="1"/>
  <c r="Q58" i="1"/>
  <c r="R58" i="1"/>
  <c r="S58" i="1"/>
  <c r="T58" i="1"/>
  <c r="U58" i="1"/>
  <c r="V58" i="1"/>
  <c r="W58" i="1"/>
  <c r="X58" i="1"/>
  <c r="Y58" i="1"/>
  <c r="Z58" i="1"/>
  <c r="AA58" i="1"/>
  <c r="AB58" i="1"/>
  <c r="AC58" i="1"/>
  <c r="AD58" i="1"/>
  <c r="AE58" i="1"/>
  <c r="A59" i="1"/>
  <c r="D59" i="1"/>
  <c r="E59" i="1"/>
  <c r="F59" i="1"/>
  <c r="G59" i="1"/>
  <c r="H59" i="1"/>
  <c r="I59" i="1"/>
  <c r="J59" i="1"/>
  <c r="K59" i="1"/>
  <c r="L59" i="1"/>
  <c r="M59" i="1"/>
  <c r="N59" i="1"/>
  <c r="O59" i="1"/>
  <c r="P59" i="1"/>
  <c r="Q59" i="1"/>
  <c r="R59" i="1"/>
  <c r="S59" i="1"/>
  <c r="T59" i="1"/>
  <c r="U59" i="1"/>
  <c r="V59" i="1"/>
  <c r="W59" i="1"/>
  <c r="X59" i="1"/>
  <c r="Y59" i="1"/>
  <c r="Z59" i="1"/>
  <c r="AA59" i="1"/>
  <c r="AB59" i="1"/>
  <c r="AC59" i="1"/>
  <c r="AD59" i="1"/>
  <c r="AE59" i="1"/>
  <c r="A60" i="1"/>
  <c r="D60" i="1"/>
  <c r="E60" i="1"/>
  <c r="F60" i="1"/>
  <c r="G60" i="1"/>
  <c r="H60" i="1"/>
  <c r="I60" i="1"/>
  <c r="J60" i="1"/>
  <c r="K60" i="1"/>
  <c r="L60" i="1"/>
  <c r="M60" i="1"/>
  <c r="N60" i="1"/>
  <c r="O60" i="1"/>
  <c r="P60" i="1"/>
  <c r="Q60" i="1"/>
  <c r="R60" i="1"/>
  <c r="S60" i="1"/>
  <c r="T60" i="1"/>
  <c r="U60" i="1"/>
  <c r="V60" i="1"/>
  <c r="W60" i="1"/>
  <c r="X60" i="1"/>
  <c r="Y60" i="1"/>
  <c r="Z60" i="1"/>
  <c r="AA60" i="1"/>
  <c r="AB60" i="1"/>
  <c r="AC60" i="1"/>
  <c r="AD60" i="1"/>
  <c r="AE60" i="1"/>
  <c r="A61" i="1"/>
  <c r="D61" i="1"/>
  <c r="E61" i="1"/>
  <c r="F61" i="1"/>
  <c r="G61" i="1"/>
  <c r="H61" i="1"/>
  <c r="I61" i="1"/>
  <c r="J61" i="1"/>
  <c r="K61" i="1"/>
  <c r="L61" i="1"/>
  <c r="M61" i="1"/>
  <c r="N61" i="1"/>
  <c r="O61" i="1"/>
  <c r="P61" i="1"/>
  <c r="Q61" i="1"/>
  <c r="R61" i="1"/>
  <c r="S61" i="1"/>
  <c r="T61" i="1"/>
  <c r="U61" i="1"/>
  <c r="V61" i="1"/>
  <c r="W61" i="1"/>
  <c r="X61" i="1"/>
  <c r="Y61" i="1"/>
  <c r="Z61" i="1"/>
  <c r="AA61" i="1"/>
  <c r="AB61" i="1"/>
  <c r="AC61" i="1"/>
  <c r="AD61" i="1"/>
  <c r="AE61" i="1"/>
  <c r="A62" i="1"/>
  <c r="D62" i="1"/>
  <c r="E62" i="1"/>
  <c r="F62" i="1"/>
  <c r="G62" i="1"/>
  <c r="H62" i="1"/>
  <c r="I62" i="1"/>
  <c r="J62" i="1"/>
  <c r="K62" i="1"/>
  <c r="L62" i="1"/>
  <c r="M62" i="1"/>
  <c r="N62" i="1"/>
  <c r="O62" i="1"/>
  <c r="P62" i="1"/>
  <c r="Q62" i="1"/>
  <c r="R62" i="1"/>
  <c r="S62" i="1"/>
  <c r="T62" i="1"/>
  <c r="U62" i="1"/>
  <c r="V62" i="1"/>
  <c r="W62" i="1"/>
  <c r="X62" i="1"/>
  <c r="Y62" i="1"/>
  <c r="Z62" i="1"/>
  <c r="AA62" i="1"/>
  <c r="AB62" i="1"/>
  <c r="AC62" i="1"/>
  <c r="AD62" i="1"/>
  <c r="AE62" i="1"/>
  <c r="A63" i="1"/>
  <c r="D63" i="1"/>
  <c r="E63" i="1"/>
  <c r="F63" i="1"/>
  <c r="G63" i="1"/>
  <c r="H63" i="1"/>
  <c r="I63" i="1"/>
  <c r="J63" i="1"/>
  <c r="K63" i="1"/>
  <c r="L63" i="1"/>
  <c r="M63" i="1"/>
  <c r="N63" i="1"/>
  <c r="O63" i="1"/>
  <c r="P63" i="1"/>
  <c r="Q63" i="1"/>
  <c r="R63" i="1"/>
  <c r="S63" i="1"/>
  <c r="T63" i="1"/>
  <c r="U63" i="1"/>
  <c r="V63" i="1"/>
  <c r="W63" i="1"/>
  <c r="X63" i="1"/>
  <c r="Y63" i="1"/>
  <c r="Z63" i="1"/>
  <c r="AA63" i="1"/>
  <c r="AB63" i="1"/>
  <c r="AC63" i="1"/>
  <c r="AD63" i="1"/>
  <c r="AE63" i="1"/>
  <c r="A64" i="1"/>
  <c r="D64" i="1"/>
  <c r="E64" i="1"/>
  <c r="F64" i="1"/>
  <c r="G64" i="1"/>
  <c r="H64" i="1"/>
  <c r="I64" i="1"/>
  <c r="J64" i="1"/>
  <c r="K64" i="1"/>
  <c r="L64" i="1"/>
  <c r="M64" i="1"/>
  <c r="N64" i="1"/>
  <c r="O64" i="1"/>
  <c r="P64" i="1"/>
  <c r="Q64" i="1"/>
  <c r="R64" i="1"/>
  <c r="S64" i="1"/>
  <c r="T64" i="1"/>
  <c r="U64" i="1"/>
  <c r="V64" i="1"/>
  <c r="W64" i="1"/>
  <c r="X64" i="1"/>
  <c r="Y64" i="1"/>
  <c r="Z64" i="1"/>
  <c r="AA64" i="1"/>
  <c r="AB64" i="1"/>
  <c r="AC64" i="1"/>
  <c r="AD64" i="1"/>
  <c r="AE64" i="1"/>
  <c r="A65" i="1"/>
  <c r="D65" i="1"/>
  <c r="E65" i="1"/>
  <c r="F65" i="1"/>
  <c r="G65" i="1"/>
  <c r="H65" i="1"/>
  <c r="I65" i="1"/>
  <c r="J65" i="1"/>
  <c r="K65" i="1"/>
  <c r="L65" i="1"/>
  <c r="M65" i="1"/>
  <c r="N65" i="1"/>
  <c r="O65" i="1"/>
  <c r="P65" i="1"/>
  <c r="Q65" i="1"/>
  <c r="R65" i="1"/>
  <c r="S65" i="1"/>
  <c r="T65" i="1"/>
  <c r="U65" i="1"/>
  <c r="V65" i="1"/>
  <c r="W65" i="1"/>
  <c r="X65" i="1"/>
  <c r="Y65" i="1"/>
  <c r="Z65" i="1"/>
  <c r="AA65" i="1"/>
  <c r="AB65" i="1"/>
  <c r="AC65" i="1"/>
  <c r="AD65" i="1"/>
  <c r="AE65" i="1"/>
  <c r="A66" i="1"/>
  <c r="D66" i="1"/>
  <c r="E66" i="1"/>
  <c r="F66" i="1"/>
  <c r="G66" i="1"/>
  <c r="H66" i="1"/>
  <c r="I66" i="1"/>
  <c r="J66" i="1"/>
  <c r="K66" i="1"/>
  <c r="L66" i="1"/>
  <c r="M66" i="1"/>
  <c r="N66" i="1"/>
  <c r="O66" i="1"/>
  <c r="P66" i="1"/>
  <c r="Q66" i="1"/>
  <c r="R66" i="1"/>
  <c r="S66" i="1"/>
  <c r="T66" i="1"/>
  <c r="U66" i="1"/>
  <c r="V66" i="1"/>
  <c r="W66" i="1"/>
  <c r="X66" i="1"/>
  <c r="Y66" i="1"/>
  <c r="Z66" i="1"/>
  <c r="AA66" i="1"/>
  <c r="AB66" i="1"/>
  <c r="AC66" i="1"/>
  <c r="AD66" i="1"/>
  <c r="AE66" i="1"/>
  <c r="A67" i="1"/>
  <c r="D67" i="1"/>
  <c r="E67" i="1"/>
  <c r="F67" i="1"/>
  <c r="G67" i="1"/>
  <c r="H67" i="1"/>
  <c r="I67" i="1"/>
  <c r="J67" i="1"/>
  <c r="K67" i="1"/>
  <c r="L67" i="1"/>
  <c r="M67" i="1"/>
  <c r="N67" i="1"/>
  <c r="O67" i="1"/>
  <c r="P67" i="1"/>
  <c r="Q67" i="1"/>
  <c r="R67" i="1"/>
  <c r="S67" i="1"/>
  <c r="T67" i="1"/>
  <c r="U67" i="1"/>
  <c r="V67" i="1"/>
  <c r="W67" i="1"/>
  <c r="X67" i="1"/>
  <c r="Y67" i="1"/>
  <c r="Z67" i="1"/>
  <c r="AA67" i="1"/>
  <c r="AB67" i="1"/>
  <c r="AC67" i="1"/>
  <c r="AD67" i="1"/>
  <c r="AE67" i="1"/>
  <c r="A68" i="1"/>
  <c r="D68" i="1"/>
  <c r="E68" i="1"/>
  <c r="F68" i="1"/>
  <c r="G68" i="1"/>
  <c r="H68" i="1"/>
  <c r="I68" i="1"/>
  <c r="J68" i="1"/>
  <c r="K68" i="1"/>
  <c r="L68" i="1"/>
  <c r="M68" i="1"/>
  <c r="N68" i="1"/>
  <c r="O68" i="1"/>
  <c r="P68" i="1"/>
  <c r="Q68" i="1"/>
  <c r="R68" i="1"/>
  <c r="S68" i="1"/>
  <c r="T68" i="1"/>
  <c r="U68" i="1"/>
  <c r="V68" i="1"/>
  <c r="W68" i="1"/>
  <c r="X68" i="1"/>
  <c r="Y68" i="1"/>
  <c r="Z68" i="1"/>
  <c r="AA68" i="1"/>
  <c r="AB68" i="1"/>
  <c r="AC68" i="1"/>
  <c r="AD68" i="1"/>
  <c r="AE68" i="1"/>
</calcChain>
</file>

<file path=xl/sharedStrings.xml><?xml version="1.0" encoding="utf-8"?>
<sst xmlns="http://schemas.openxmlformats.org/spreadsheetml/2006/main" count="1192" uniqueCount="413">
  <si>
    <t>230_自动化教师</t>
  </si>
  <si>
    <t>职业中专</t>
  </si>
  <si>
    <t>229_汽车维修教师</t>
  </si>
  <si>
    <t>228_计算机教师</t>
  </si>
  <si>
    <t>祁东一中</t>
  </si>
  <si>
    <t>108_高中心理学教师</t>
  </si>
  <si>
    <t>107_高中化学教师</t>
  </si>
  <si>
    <t>衡师附中</t>
  </si>
  <si>
    <t>="1.2017年4月-6月    衡阳师范学院初等教育学院       义务家教_x000D_
 主要根据学生情况有针对性的备课和辅导，提升学生学生成绩和学习兴趣爱好。_x000D_
2.2018年 5 月6月      船山英文实验中学学校           教师  _x000D_
 主要负责高二年级化学教学，包括：上课、作业辅导及批改、习题讲解、监考、阅卷等工作，积累了高中化学工作经验，得到了带队老师和学生的高度认可。_x000D_
3.2020年11月-2021年5月     广西师范大学           教学实践 _x000D_
&amp;#61472;对 2017级两名本科生进行毕业论文指导，在选题、实验研究、 撰写论文等进行指导，最终在 2021年顺利答辩。"</t>
  </si>
  <si>
    <t>106_高中物理教师</t>
  </si>
  <si>
    <t>105_高中语文教师</t>
  </si>
  <si>
    <t>育贤中学</t>
  </si>
  <si>
    <t>="1.科研经历_x000D_
独立发表课题论文两篇；_x000D_
作为一作发表课题论文一篇；_x000D_
独立完成2019年湖南省研究生科研创新课题“人教版高中语文现当代文学作品选编的时代性与学生阅读理解能力的研究”；_x000D_
作为主要参与人参与湖南省普通高校教学改革研究课题“语文名师研究与中文专业师范生核心素养之培育”、2019年湖南省研究生科研创新课题“初中生识字水平与语文能力的关联性实证研究”和2020年湖南省研究生科研创新课题“高中湖湘文学校本课程开发研究”共三项课题。_x000D_
2.获奖情况_x000D_
获2019年研究生新生奖学金一等（校级）_x000D_
获2020-2021学年研究生学年综合奖学金三等（校级）_x000D_
获2019-2020学年研究生学业奖学金一等（校级）_x000D_
获2020-2021学年研究生学业奖学金一等（校级）_x000D_
获2021年下半年研究生学业奖学金一等（校级）_x000D_
3.学习与工作_x000D_
研究生期间所有课程的平均分为90.29分，为专业第一名。_x000D_
研究生期间担任了两年的研究生会副主席兼组织部部长、两年半的班长，这些工作经历既让我对学生工作变得非常熟悉，也较大地提升了我的学生工作能力。"</t>
  </si>
  <si>
    <t>104_高中英语教师</t>
  </si>
  <si>
    <t>祁东二中</t>
  </si>
  <si>
    <t>="&amp;#61548;已经获得英语专业八级、三级笔译和普通话二甲证书。2021-2022学年 暨南大学硕士研究生学业“二等奖学金”_x000D_
&amp;#61548;2020-2021学年 暨南大学硕士研究生学业“三等奖学金”_x000D_
&amp;#61548;2018-2019学年 湖南科技大学“特殊贡献奖”   2017-2018学年 湖南科技大学“优秀学生干部“_x000D_
&amp;#61548;2017-2018学年 湖南科技大学“三等奖学金“   2017-2018学年 湖南科技大学“自强类专项奖学金”_x000D_
&amp;#61548;2016-2017学年 湖南科技大学“优秀志愿者”"</t>
  </si>
  <si>
    <t>="&amp;#61656;2021.9-至今            衡阳县第五中学      高中英语代课教师_x000D_
在全校青年教师比武大赛中获得一等奖。独立负责两个班的英语教学，到目前上课共计300余节，公开课4次。积极参加学校的教研和评课活动，观摩优秀教师课堂50余节。_x000D_
参与学校考试的命题阅卷，逐个分析学生成绩，进行个性化的指导答疑，学生成绩和学习热情有所提升。_x000D_
&amp;#61656;2021.5-2021.6        长春市第一零八学校    实习英语教师_x000D_
积极参加英语组各类教研活动以及集体备课，并独立授课二十余节，听课三十余节，不断完善教学技能。_x000D_
参与管理班级一切事物，如组织策划班会、宿舍检查、跑操、比赛等活动。并负责学校宣传的美篇制作。_x000D_
&amp;#61656;2019.9-2019.12        夏明翰中学          实习英语教师和班主任_x000D_
负责一个班的英语教学和班级的管理，在此期间，专研教材，熟悉教学中的重难点，工作事无巨细，认真负责，所带班级成绩进步明显，被评为“优秀实习教师”。_x000D_
&amp;#61656;2016.9-2018.9         金榜教育培训机构     英语教师_x000D_
在此期间在培训机构带过4次学生，覆盖学生总人数100余名。授课包括初中英语和高中英语。在教学过程中，曾为初中学生制定一对一的英语教学计划，学生成绩由零基础到80+。"</t>
  </si>
  <si>
    <t>103_高中生物教师</t>
  </si>
  <si>
    <t>102_高中生物教师</t>
  </si>
  <si>
    <t>="2017.4             在南岳树木园进行短期野外实习，熟悉植物，制作植物标本，提高了动手能力。 _x000D_
2018.3-2018-4     学校组织的微格教学中，通过书写教案，制作相应的课件，试讲，回看讲课录像，多次反复的过程，提高生物教学技能。 _x000D_
  _x000D_
2021.3            进行了为期一周的遗传学实验教育实践， 指导本科生更好的完成蚕豆根尖畸变和蚕豆根尖多倍体的实验，将生物学与生物实验更好的结合起来。 _x000D_
2021.5-2021.6     担任长沙-长郡滨江中学一学生生物家教，学生生物会考成绩从 40 几分提升到 80 几分。获得了家长的好评。 "</t>
  </si>
  <si>
    <t>101_高中物理教师</t>
  </si>
  <si>
    <t>取得的其他成绩</t>
  </si>
  <si>
    <t>与应聘岗位相应的身份要求</t>
  </si>
  <si>
    <t>与应聘岗位相关的实践经历</t>
  </si>
  <si>
    <t>简历(高中以上阶段学习工作经历)</t>
  </si>
  <si>
    <t>E-mail</t>
  </si>
  <si>
    <t>邮政编码</t>
  </si>
  <si>
    <t>通讯地址</t>
  </si>
  <si>
    <t>有何特长</t>
  </si>
  <si>
    <t>档案保管单位</t>
  </si>
  <si>
    <t>婚姻状况</t>
  </si>
  <si>
    <t>户籍所在地</t>
  </si>
  <si>
    <t>取得时间</t>
  </si>
  <si>
    <t>职称、执(职)业资格证书编号</t>
  </si>
  <si>
    <t>身份</t>
  </si>
  <si>
    <t>职称、执(职)业资格名称</t>
  </si>
  <si>
    <t>学位证书编号</t>
  </si>
  <si>
    <t>学历证书编号</t>
  </si>
  <si>
    <t>所学专业</t>
  </si>
  <si>
    <t>毕业院校</t>
  </si>
  <si>
    <t>学位</t>
  </si>
  <si>
    <t>学历</t>
  </si>
  <si>
    <t>政治面貌</t>
  </si>
  <si>
    <t>出生年月</t>
  </si>
  <si>
    <t>民族</t>
  </si>
  <si>
    <t>联系电话</t>
  </si>
  <si>
    <t>身份证号</t>
  </si>
  <si>
    <t>性别</t>
  </si>
  <si>
    <t>姓名</t>
  </si>
  <si>
    <t>报考岗位</t>
  </si>
  <si>
    <t>岗位单位</t>
  </si>
  <si>
    <t>报考号</t>
  </si>
  <si>
    <t>10842022051011465483186</t>
  </si>
  <si>
    <t>钟腾</t>
  </si>
  <si>
    <t>10842022050915282081949</t>
  </si>
  <si>
    <t>廖兴利</t>
  </si>
  <si>
    <t>10842022051016314183535</t>
  </si>
  <si>
    <t>卓城洁</t>
  </si>
  <si>
    <t>10842022051022540283974</t>
  </si>
  <si>
    <t>黄东花</t>
  </si>
  <si>
    <t>10842022051112501484308</t>
  </si>
  <si>
    <t>彭灵芝</t>
  </si>
  <si>
    <t>10842022050811031478637</t>
  </si>
  <si>
    <t>肖鹏飞</t>
  </si>
  <si>
    <t>10842022050813185479153</t>
  </si>
  <si>
    <t>陈薇</t>
  </si>
  <si>
    <t>10842022050813315379187</t>
  </si>
  <si>
    <t>李文倩</t>
  </si>
  <si>
    <t>10842022050814495479421</t>
  </si>
  <si>
    <t>罗素雅</t>
  </si>
  <si>
    <t>10842022050809475778222</t>
  </si>
  <si>
    <t>李思</t>
  </si>
  <si>
    <t>10842022050817175279801</t>
  </si>
  <si>
    <t>贺倩</t>
  </si>
  <si>
    <t>10842022050818172479914</t>
  </si>
  <si>
    <t>王艳芳</t>
  </si>
  <si>
    <t>10842022050910545181229</t>
  </si>
  <si>
    <t>周宁</t>
  </si>
  <si>
    <t>10842022050915374781975</t>
  </si>
  <si>
    <t>王芳玉</t>
  </si>
  <si>
    <t>10842022051008520382927</t>
  </si>
  <si>
    <t>王秋月</t>
  </si>
  <si>
    <t>10842022051012330883243</t>
  </si>
  <si>
    <t>彭媛媛</t>
  </si>
  <si>
    <t>10842022051015300683456</t>
  </si>
  <si>
    <t>彭思</t>
  </si>
  <si>
    <t>10842022051020035783770</t>
  </si>
  <si>
    <t>曾婧婧</t>
  </si>
  <si>
    <t>10842022051111174684219</t>
  </si>
  <si>
    <t>宁青云</t>
  </si>
  <si>
    <t>10842022051116412284567</t>
  </si>
  <si>
    <t>李丹迪</t>
  </si>
  <si>
    <t>10842022051116414684568</t>
  </si>
  <si>
    <t>邹爱兰</t>
  </si>
  <si>
    <t>10842022051209171585038</t>
  </si>
  <si>
    <t>雷娟</t>
  </si>
  <si>
    <t>10842022051211013985172</t>
  </si>
  <si>
    <t>伍亚杰</t>
  </si>
  <si>
    <t>10842022050813380379208</t>
  </si>
  <si>
    <t>王俊</t>
  </si>
  <si>
    <t>10842022050921210782707</t>
  </si>
  <si>
    <t>王倩</t>
  </si>
  <si>
    <t>10842022051121364884863</t>
  </si>
  <si>
    <t>陈瑶</t>
  </si>
  <si>
    <t>10842022051216411385620</t>
  </si>
  <si>
    <t>周亚玲</t>
  </si>
  <si>
    <t>10842022051210414485142</t>
  </si>
  <si>
    <t>兰婷</t>
  </si>
  <si>
    <t>10842022050909060180734</t>
  </si>
  <si>
    <t>贺慧婷</t>
  </si>
  <si>
    <t>10842022050915061981902</t>
  </si>
  <si>
    <t>李本超</t>
  </si>
  <si>
    <t>10842022050920441082635</t>
  </si>
  <si>
    <t>彭卓金</t>
  </si>
  <si>
    <t>10842022050921190182698</t>
  </si>
  <si>
    <t>周必景</t>
  </si>
  <si>
    <t>10842022051210154785111</t>
  </si>
  <si>
    <t>张艳花</t>
  </si>
  <si>
    <t>10842022051215544185543</t>
  </si>
  <si>
    <t>李易湘</t>
  </si>
  <si>
    <t>岗位代码</t>
    <phoneticPr fontId="2" type="noConversion"/>
  </si>
  <si>
    <t>报考科目</t>
    <phoneticPr fontId="2" type="noConversion"/>
  </si>
  <si>
    <t>101</t>
  </si>
  <si>
    <t>高中物理教师</t>
  </si>
  <si>
    <t>102</t>
  </si>
  <si>
    <t>高中生物教师</t>
  </si>
  <si>
    <t>103</t>
  </si>
  <si>
    <t>104</t>
  </si>
  <si>
    <t>高中英语教师</t>
  </si>
  <si>
    <t>105</t>
  </si>
  <si>
    <t>高中语文教师</t>
  </si>
  <si>
    <t>106</t>
  </si>
  <si>
    <t>107</t>
  </si>
  <si>
    <t>高中化学教师</t>
  </si>
  <si>
    <t>高中心理学教师</t>
  </si>
  <si>
    <t>10842022050810263278435</t>
  </si>
  <si>
    <t>刘巧云</t>
  </si>
  <si>
    <t>10842022050811081878667</t>
  </si>
  <si>
    <t>邹亚静</t>
  </si>
  <si>
    <t>10842022050811292078748</t>
  </si>
  <si>
    <t>曾得文</t>
  </si>
  <si>
    <t>10842022050812192478929</t>
  </si>
  <si>
    <t>蒋昊</t>
  </si>
  <si>
    <t>10842022050813583979278</t>
  </si>
  <si>
    <t>张文康</t>
  </si>
  <si>
    <t>10842022050814110979321</t>
  </si>
  <si>
    <t>刘力渔</t>
  </si>
  <si>
    <t>10842022050815294379526</t>
  </si>
  <si>
    <t>李碧霞</t>
  </si>
  <si>
    <t>10842022050817245379814</t>
  </si>
  <si>
    <t>高凌涛</t>
  </si>
  <si>
    <t>10842022050909081880742</t>
  </si>
  <si>
    <t>周渲奇</t>
  </si>
  <si>
    <t>10842022050915572582024</t>
  </si>
  <si>
    <t>陈露</t>
  </si>
  <si>
    <t>10842022050916525182179</t>
  </si>
  <si>
    <t>张山</t>
  </si>
  <si>
    <t>10842022051011492383189</t>
  </si>
  <si>
    <t>陈莉</t>
  </si>
  <si>
    <t>10842022051019415883738</t>
  </si>
  <si>
    <t>邓湘荣</t>
  </si>
  <si>
    <t>10842022051112442484300</t>
  </si>
  <si>
    <t>张文霞</t>
  </si>
  <si>
    <t>10842022051118132884655</t>
  </si>
  <si>
    <t>郑丽丽</t>
  </si>
  <si>
    <t>10842022051121230084852</t>
  </si>
  <si>
    <t>涂文韬</t>
  </si>
  <si>
    <t>10842022051122321484916</t>
  </si>
  <si>
    <t>龙奕如</t>
  </si>
  <si>
    <t>10842022051208453785016</t>
  </si>
  <si>
    <t>李雪梅</t>
  </si>
  <si>
    <t>10842022051213361985359</t>
  </si>
  <si>
    <t>曾蓉姣</t>
  </si>
  <si>
    <t>10842022050815565279600</t>
  </si>
  <si>
    <t>刘湘玲</t>
  </si>
  <si>
    <t>10842022050909191480781</t>
  </si>
  <si>
    <t>陈献菁</t>
  </si>
  <si>
    <t>10842022050913013981622</t>
  </si>
  <si>
    <t>何晋</t>
  </si>
  <si>
    <t>10842022050918165382349</t>
  </si>
  <si>
    <t>龙亮</t>
  </si>
  <si>
    <t>10842022051112112884274</t>
  </si>
  <si>
    <t>罗润德</t>
  </si>
  <si>
    <t>10842022051118295084666</t>
  </si>
  <si>
    <t>许翠</t>
  </si>
  <si>
    <t>10842022051118403184676</t>
  </si>
  <si>
    <t>欧阳辉</t>
  </si>
  <si>
    <t>10842022051213124285328</t>
  </si>
  <si>
    <t>徐兴文</t>
  </si>
  <si>
    <t>10842022050922060882783</t>
  </si>
  <si>
    <t>刘弦</t>
  </si>
  <si>
    <t>10842022051021464883913</t>
  </si>
  <si>
    <t>郑伟</t>
  </si>
  <si>
    <t>10842022051115122984432</t>
  </si>
  <si>
    <t>肖廷桢</t>
  </si>
  <si>
    <t>10842022051121321484860</t>
  </si>
  <si>
    <t>江永飞</t>
  </si>
  <si>
    <t>10842022051121473384875</t>
  </si>
  <si>
    <t>杨子琪</t>
  </si>
  <si>
    <t>228</t>
  </si>
  <si>
    <t>计算机教师</t>
  </si>
  <si>
    <t>229</t>
  </si>
  <si>
    <t>汽车维修教师</t>
  </si>
  <si>
    <t>230</t>
  </si>
  <si>
    <t>自动化教师</t>
  </si>
  <si>
    <t>报考单位</t>
  </si>
  <si>
    <t>准考证号</t>
  </si>
  <si>
    <t>总分</t>
  </si>
  <si>
    <t>陈一呤</t>
  </si>
  <si>
    <t>朱优玉</t>
  </si>
  <si>
    <t>唐洋洋</t>
  </si>
  <si>
    <t>彭倩</t>
  </si>
  <si>
    <t>肖瑾</t>
  </si>
  <si>
    <t>刘慧</t>
  </si>
  <si>
    <t>周玉婷</t>
  </si>
  <si>
    <t>刘洁</t>
  </si>
  <si>
    <t>肖梓弘</t>
  </si>
  <si>
    <t>谭文婷</t>
  </si>
  <si>
    <t>王琼琼</t>
  </si>
  <si>
    <t>衡师祁东附中</t>
  </si>
  <si>
    <t>黄海燕</t>
  </si>
  <si>
    <t>张琴琴</t>
  </si>
  <si>
    <t>陈璇</t>
  </si>
  <si>
    <t>肖涛</t>
  </si>
  <si>
    <t>褚广花</t>
  </si>
  <si>
    <t>陈彤</t>
  </si>
  <si>
    <t>范玲</t>
  </si>
  <si>
    <t>陈晓璐</t>
  </si>
  <si>
    <t>邹明豪</t>
  </si>
  <si>
    <t>漆亚倩</t>
  </si>
  <si>
    <t>肖文颖</t>
  </si>
  <si>
    <t>李竹萍</t>
  </si>
  <si>
    <t>邹思恩</t>
  </si>
  <si>
    <t>龙志成</t>
  </si>
  <si>
    <t>刘佳林</t>
  </si>
  <si>
    <t>邹桂枝</t>
  </si>
  <si>
    <t>王蕤莹</t>
  </si>
  <si>
    <t>谢玉莎</t>
  </si>
  <si>
    <t>周美丹</t>
  </si>
  <si>
    <t>周泽文</t>
  </si>
  <si>
    <t>刘伟勋</t>
  </si>
  <si>
    <t>周奥燕</t>
  </si>
  <si>
    <t>何益仲</t>
  </si>
  <si>
    <t>石灿</t>
  </si>
  <si>
    <t>刘青青</t>
  </si>
  <si>
    <t>陈艺文</t>
  </si>
  <si>
    <t>彭佩</t>
  </si>
  <si>
    <t>邓牧星</t>
  </si>
  <si>
    <t>庾能文</t>
  </si>
  <si>
    <t>刘思慧</t>
  </si>
  <si>
    <t>曾诗敏</t>
  </si>
  <si>
    <t>邹金华</t>
  </si>
  <si>
    <t>罗雪晴</t>
  </si>
  <si>
    <t>杨雨艳</t>
  </si>
  <si>
    <t>赵玲玲</t>
  </si>
  <si>
    <t>柳雯琪</t>
  </si>
  <si>
    <t>陈琼</t>
  </si>
  <si>
    <t>陈金桥</t>
  </si>
  <si>
    <t>黄诗惠</t>
  </si>
  <si>
    <t>张晓晴</t>
  </si>
  <si>
    <t>唐沛</t>
  </si>
  <si>
    <t>邹琼仪</t>
  </si>
  <si>
    <t>胡优</t>
  </si>
  <si>
    <t>张永健</t>
  </si>
  <si>
    <t>乡镇(街道)小学教师岗位</t>
  </si>
  <si>
    <t>王朝燕</t>
  </si>
  <si>
    <t>廖慧</t>
  </si>
  <si>
    <t>李凤</t>
  </si>
  <si>
    <t>徐双玲</t>
  </si>
  <si>
    <t>文思锐</t>
  </si>
  <si>
    <t>谭珊珊</t>
  </si>
  <si>
    <t>肖朝霞</t>
  </si>
  <si>
    <t>粟叶妮</t>
  </si>
  <si>
    <t>康林梅</t>
  </si>
  <si>
    <t>刘喜荣</t>
  </si>
  <si>
    <t>廖文</t>
  </si>
  <si>
    <t>马唯</t>
  </si>
  <si>
    <t>周婷璨</t>
  </si>
  <si>
    <t>潘智红</t>
  </si>
  <si>
    <t>何晨</t>
  </si>
  <si>
    <t>曹巍</t>
  </si>
  <si>
    <t>陈艳萍</t>
  </si>
  <si>
    <t>彭蓉</t>
  </si>
  <si>
    <t>彭清华</t>
  </si>
  <si>
    <t>罗爽</t>
  </si>
  <si>
    <t>彭文婷</t>
  </si>
  <si>
    <t>龙甜甜</t>
  </si>
  <si>
    <t>何珊珊</t>
  </si>
  <si>
    <t>谭慧娟</t>
  </si>
  <si>
    <t>肖精灵</t>
  </si>
  <si>
    <t>唐若琪</t>
  </si>
  <si>
    <t>肖思佩</t>
  </si>
  <si>
    <t>张菲</t>
  </si>
  <si>
    <t>段明艳</t>
  </si>
  <si>
    <t>覃玲玲</t>
  </si>
  <si>
    <t>蒋晗</t>
  </si>
  <si>
    <t>周俊芳</t>
  </si>
  <si>
    <t>赵进</t>
  </si>
  <si>
    <t>张义</t>
  </si>
  <si>
    <t>杨益贤</t>
  </si>
  <si>
    <t>张缘</t>
  </si>
  <si>
    <t>曾玲</t>
  </si>
  <si>
    <t>蒋兰兰</t>
  </si>
  <si>
    <t>周姣利</t>
  </si>
  <si>
    <t>曾梦星</t>
  </si>
  <si>
    <t>王夏玲</t>
  </si>
  <si>
    <t>唐敏</t>
  </si>
  <si>
    <t>周佩佩</t>
  </si>
  <si>
    <t>唐莙茜</t>
  </si>
  <si>
    <t>费成媛</t>
  </si>
  <si>
    <t>何继英</t>
  </si>
  <si>
    <t>李佳慧</t>
  </si>
  <si>
    <t>陈雅倩</t>
  </si>
  <si>
    <t>彭琪</t>
  </si>
  <si>
    <t>曾响云</t>
  </si>
  <si>
    <t>谷石玲</t>
  </si>
  <si>
    <t>唐萍</t>
  </si>
  <si>
    <t>曹超伟</t>
  </si>
  <si>
    <t>雷雯</t>
  </si>
  <si>
    <t>李益香</t>
  </si>
  <si>
    <t>赵丽</t>
  </si>
  <si>
    <t>谢美乐</t>
  </si>
  <si>
    <t>肖魁</t>
  </si>
  <si>
    <t>李平</t>
  </si>
  <si>
    <t>罗湘</t>
  </si>
  <si>
    <t>董月红</t>
  </si>
  <si>
    <t>尹福琴</t>
  </si>
  <si>
    <t>侯健</t>
  </si>
  <si>
    <t>肖冰清</t>
  </si>
  <si>
    <t>罗又文</t>
  </si>
  <si>
    <t>李於洪</t>
  </si>
  <si>
    <t>王婷</t>
  </si>
  <si>
    <t>郑绍芳</t>
  </si>
  <si>
    <t>莫凌梅</t>
  </si>
  <si>
    <t>陈赛</t>
  </si>
  <si>
    <t>邓亚萍</t>
  </si>
  <si>
    <t>唐娜</t>
  </si>
  <si>
    <t>彭志豪</t>
  </si>
  <si>
    <t>乡镇(街道)幼儿教师岗位</t>
  </si>
  <si>
    <t>胡钰洁</t>
  </si>
  <si>
    <t>李露</t>
  </si>
  <si>
    <t>赵芹</t>
  </si>
  <si>
    <t>张欢</t>
  </si>
  <si>
    <t>李旸</t>
  </si>
  <si>
    <t>邓星星</t>
  </si>
  <si>
    <t>罗文文</t>
  </si>
  <si>
    <t>肖美红</t>
  </si>
  <si>
    <t>罗依</t>
  </si>
  <si>
    <t>蒋丽</t>
  </si>
  <si>
    <t>周舒萍</t>
  </si>
  <si>
    <t>熊筱</t>
  </si>
  <si>
    <t>黄馨雨</t>
  </si>
  <si>
    <t>袁琪瑶</t>
  </si>
  <si>
    <t>屈爽</t>
  </si>
  <si>
    <t>李馨</t>
  </si>
  <si>
    <t>蒋小芳</t>
  </si>
  <si>
    <t>刘素维</t>
  </si>
  <si>
    <t>欧洁</t>
  </si>
  <si>
    <t>廖冬英</t>
  </si>
  <si>
    <t>张慕依</t>
  </si>
  <si>
    <t>肖慧媚</t>
  </si>
  <si>
    <t>邓丽媚</t>
  </si>
  <si>
    <t>吕彦</t>
  </si>
  <si>
    <t>特殊教育学校</t>
  </si>
  <si>
    <t>蔡英</t>
  </si>
  <si>
    <t>朱吉</t>
  </si>
  <si>
    <t>戴斯璐</t>
  </si>
  <si>
    <t>黄秋玲</t>
  </si>
  <si>
    <t>欧阳品红</t>
  </si>
  <si>
    <t>张姣</t>
  </si>
  <si>
    <t>401</t>
  </si>
  <si>
    <t>乡镇(街道)幼儿教师</t>
  </si>
  <si>
    <t>301</t>
  </si>
  <si>
    <t>小学语文教师</t>
  </si>
  <si>
    <t>302</t>
  </si>
  <si>
    <t>小学数学教师</t>
  </si>
  <si>
    <t>303</t>
  </si>
  <si>
    <t>小学音乐教师</t>
  </si>
  <si>
    <t>304</t>
  </si>
  <si>
    <t>小学美术教师</t>
  </si>
  <si>
    <t>305</t>
  </si>
  <si>
    <t>小学体育教师</t>
  </si>
  <si>
    <t>特殊教育学校教师</t>
  </si>
  <si>
    <t>学校名称</t>
    <phoneticPr fontId="2" type="noConversion"/>
  </si>
  <si>
    <t>备注</t>
    <phoneticPr fontId="2" type="noConversion"/>
  </si>
  <si>
    <t>招聘优秀高中教师</t>
    <phoneticPr fontId="2" type="noConversion"/>
  </si>
  <si>
    <t>祁东县2022年公开招聘优秀高中教师资格审查名单</t>
    <phoneticPr fontId="2" type="noConversion"/>
  </si>
  <si>
    <t>附件一：</t>
    <phoneticPr fontId="2" type="noConversion"/>
  </si>
  <si>
    <t>高中历史教师</t>
  </si>
  <si>
    <t>高中地理教师</t>
  </si>
  <si>
    <t>高中政治教师</t>
  </si>
  <si>
    <t>高中数学教师</t>
  </si>
  <si>
    <t>高中美术教师</t>
  </si>
  <si>
    <t>高中音乐教师</t>
  </si>
  <si>
    <t>岗位代码</t>
    <phoneticPr fontId="2" type="noConversion"/>
  </si>
  <si>
    <t>报考科目</t>
    <phoneticPr fontId="2" type="noConversion"/>
  </si>
  <si>
    <t>岗位排名</t>
    <phoneticPr fontId="2" type="noConversion"/>
  </si>
  <si>
    <t>附件二：</t>
    <phoneticPr fontId="2" type="noConversion"/>
  </si>
  <si>
    <t>祁东县2022年公开招聘高中学校教师和职业中专文化课教师入围资格审查名单</t>
    <phoneticPr fontId="2" type="noConversion"/>
  </si>
  <si>
    <t>附件三：</t>
    <phoneticPr fontId="2" type="noConversion"/>
  </si>
  <si>
    <t>姓名</t>
    <phoneticPr fontId="2" type="noConversion"/>
  </si>
  <si>
    <t>祁东县2022年公开招聘职业中专专业课教师入围资格审查名单</t>
    <phoneticPr fontId="2" type="noConversion"/>
  </si>
  <si>
    <t>附件四：</t>
    <phoneticPr fontId="2" type="noConversion"/>
  </si>
  <si>
    <t>祁东县2022年公开招聘乡镇（街道）小学教师入围资格审查名单</t>
    <phoneticPr fontId="2" type="noConversion"/>
  </si>
  <si>
    <t>附件五：</t>
    <phoneticPr fontId="2" type="noConversion"/>
  </si>
  <si>
    <t>祁东县2022年公开招聘乡镇（街道）幼儿园教师入围资格审查名单</t>
    <phoneticPr fontId="2" type="noConversion"/>
  </si>
  <si>
    <t>报考单位</t>
    <phoneticPr fontId="2" type="noConversion"/>
  </si>
  <si>
    <t>姓名</t>
    <phoneticPr fontId="2" type="noConversion"/>
  </si>
  <si>
    <t>总分</t>
    <phoneticPr fontId="2" type="noConversion"/>
  </si>
  <si>
    <t>岗位排名</t>
    <phoneticPr fontId="2" type="noConversion"/>
  </si>
  <si>
    <t>附件六：</t>
    <phoneticPr fontId="2" type="noConversion"/>
  </si>
  <si>
    <t>祁东县2022年公开招聘特殊教育学校教师入围资格审查名单</t>
    <phoneticPr fontId="2" type="noConversion"/>
  </si>
  <si>
    <t>试教+技能测试</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</si>
</sst>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2">
    <font>
      <sz val="11"/>
      <color theme="1"/>
      <name val="等线"/>
      <charset val="134"/>
      <scheme val="minor"/>
    </font>
    <font>
      <sz val="11"/>
      <color theme="1"/>
      <name val="等线"/>
      <family val="3"/>
      <charset val="134"/>
      <scheme val="minor"/>
    </font>
    <font>
      <sz val="9"/>
      <name val="等线"/>
      <family val="3"/>
      <charset val="134"/>
      <scheme val="minor"/>
    </font>
    <font>
      <b/>
      <sz val="11"/>
      <color theme="1"/>
      <name val="等线"/>
      <family val="3"/>
      <charset val="134"/>
      <scheme val="minor"/>
    </font>
    <font>
      <sz val="11"/>
      <name val="等线"/>
      <family val="3"/>
      <charset val="134"/>
      <scheme val="minor"/>
    </font>
    <font>
      <sz val="9"/>
      <color theme="1"/>
      <name val="等线"/>
      <family val="3"/>
      <charset val="134"/>
      <scheme val="minor"/>
    </font>
    <font>
      <b/>
      <sz val="10"/>
      <color theme="1"/>
      <name val="等线"/>
      <family val="3"/>
      <charset val="134"/>
      <scheme val="minor"/>
    </font>
    <font>
      <b/>
      <sz val="9"/>
      <color theme="1"/>
      <name val="等线"/>
      <family val="3"/>
      <charset val="134"/>
      <scheme val="minor"/>
    </font>
    <font>
      <b/>
      <sz val="12"/>
      <color theme="1"/>
      <name val="等线"/>
      <family val="3"/>
      <charset val="134"/>
      <scheme val="minor"/>
    </font>
    <font>
      <b/>
      <sz val="16"/>
      <color theme="1"/>
      <name val="等线"/>
      <family val="3"/>
      <charset val="134"/>
      <scheme val="minor"/>
    </font>
    <font>
      <b/>
      <sz val="11"/>
      <color theme="1"/>
      <name val="等线"/>
      <charset val="134"/>
      <scheme val="minor"/>
    </font>
    <font>
      <b/>
      <sz val="10"/>
      <color theme="1"/>
      <name val="等线"/>
      <charset val="134"/>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auto="1"/>
      </bottom>
      <diagonal/>
    </border>
  </borders>
  <cellStyleXfs count="1">
    <xf numFmtId="0" fontId="0" fillId="0" borderId="0">
      <alignment vertical="center"/>
    </xf>
  </cellStyleXfs>
  <cellXfs count="40">
    <xf numFmtId="0" fontId="0" fillId="0" borderId="0" xfId="0">
      <alignment vertical="center"/>
    </xf>
    <xf numFmtId="0" fontId="1" fillId="0" borderId="0" xfId="0" applyFont="1" applyFill="1" applyAlignment="1">
      <alignment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3" fillId="0" borderId="0" xfId="0" applyFont="1" applyFill="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lignment vertical="center"/>
    </xf>
    <xf numFmtId="0" fontId="5" fillId="0" borderId="1" xfId="0" applyFont="1" applyBorder="1" applyAlignment="1">
      <alignment horizontal="center" vertical="center"/>
    </xf>
    <xf numFmtId="0" fontId="5"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5" fillId="0" borderId="0" xfId="0" applyFont="1" applyFill="1">
      <alignment vertical="center"/>
    </xf>
    <xf numFmtId="0" fontId="7" fillId="0" borderId="0" xfId="0" applyFont="1" applyFill="1">
      <alignment vertical="center"/>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1" fillId="0" borderId="2" xfId="0" applyFont="1" applyBorder="1">
      <alignment vertical="center"/>
    </xf>
    <xf numFmtId="0" fontId="1" fillId="0" borderId="0" xfId="0" applyFont="1">
      <alignment vertical="center"/>
    </xf>
    <xf numFmtId="0"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176" fontId="2" fillId="0" borderId="2"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0" fillId="0" borderId="0" xfId="0" applyFill="1">
      <alignment vertical="center"/>
    </xf>
    <xf numFmtId="0" fontId="3" fillId="0" borderId="1" xfId="0" applyFont="1" applyFill="1" applyBorder="1" applyAlignment="1">
      <alignment horizontal="center" vertical="center" wrapText="1"/>
    </xf>
    <xf numFmtId="0" fontId="5" fillId="0" borderId="0" xfId="0" applyFont="1" applyAlignment="1">
      <alignment horizontal="center" vertical="center"/>
    </xf>
    <xf numFmtId="0" fontId="10" fillId="0" borderId="2" xfId="0" applyFont="1" applyFill="1" applyBorder="1" applyAlignment="1">
      <alignment horizontal="center" vertical="center"/>
    </xf>
    <xf numFmtId="0" fontId="0" fillId="0" borderId="0" xfId="0" applyFont="1" applyFill="1">
      <alignment vertical="center"/>
    </xf>
    <xf numFmtId="0" fontId="5" fillId="0" borderId="2" xfId="0" applyFont="1" applyBorder="1" applyAlignment="1">
      <alignment horizontal="center" vertical="center"/>
    </xf>
    <xf numFmtId="0" fontId="11" fillId="0" borderId="0" xfId="0" applyFont="1" applyFill="1">
      <alignment vertical="center"/>
    </xf>
    <xf numFmtId="0" fontId="10" fillId="0" borderId="1" xfId="0" applyFont="1" applyFill="1" applyBorder="1" applyAlignment="1">
      <alignment horizontal="center" vertical="center"/>
    </xf>
    <xf numFmtId="0" fontId="9" fillId="0" borderId="3"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9" fillId="0" borderId="4"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topLeftCell="N46" workbookViewId="0">
      <selection activeCell="U1" sqref="U1:U36"/>
    </sheetView>
  </sheetViews>
  <sheetFormatPr defaultColWidth="9" defaultRowHeight="13.5"/>
  <cols>
    <col min="1" max="1" width="26.125" customWidth="1"/>
    <col min="2" max="2" width="9.75" bestFit="1" customWidth="1"/>
    <col min="3" max="3" width="19.5" bestFit="1" customWidth="1"/>
    <col min="4" max="4" width="7.125" bestFit="1" customWidth="1"/>
    <col min="5" max="5" width="5.5" customWidth="1"/>
    <col min="6" max="6" width="20.5" bestFit="1" customWidth="1"/>
    <col min="7" max="7" width="12.75" bestFit="1" customWidth="1"/>
    <col min="8" max="8" width="7.125" bestFit="1" customWidth="1"/>
    <col min="9" max="9" width="11.625" bestFit="1" customWidth="1"/>
    <col min="10" max="10" width="13" bestFit="1" customWidth="1"/>
    <col min="11" max="11" width="19.25" bestFit="1" customWidth="1"/>
    <col min="12" max="12" width="5.75" bestFit="1" customWidth="1"/>
    <col min="13" max="13" width="21.375" bestFit="1" customWidth="1"/>
    <col min="14" max="14" width="22.25" customWidth="1"/>
    <col min="15" max="16" width="40.375" hidden="1" customWidth="1"/>
    <col min="17" max="17" width="28.625" customWidth="1"/>
    <col min="18" max="18" width="38.25" bestFit="1" customWidth="1"/>
    <col min="19" max="19" width="29.875" bestFit="1" customWidth="1"/>
    <col min="20" max="20" width="14.125" customWidth="1"/>
    <col min="21" max="21" width="21" customWidth="1"/>
    <col min="22" max="22" width="9.75" bestFit="1" customWidth="1"/>
    <col min="23" max="23" width="24.125" customWidth="1"/>
    <col min="24" max="24" width="20.75" customWidth="1"/>
    <col min="25" max="25" width="42" customWidth="1"/>
    <col min="26" max="26" width="9.75" bestFit="1" customWidth="1"/>
    <col min="27" max="27" width="21.625" bestFit="1" customWidth="1"/>
    <col min="28" max="31" width="255.625" bestFit="1" customWidth="1"/>
  </cols>
  <sheetData>
    <row r="1" spans="1:31" s="4" customFormat="1" ht="24" customHeight="1">
      <c r="A1" s="5" t="s">
        <v>51</v>
      </c>
      <c r="B1" s="5" t="s">
        <v>50</v>
      </c>
      <c r="C1" s="5" t="s">
        <v>49</v>
      </c>
      <c r="D1" s="5" t="s">
        <v>48</v>
      </c>
      <c r="E1" s="5" t="s">
        <v>47</v>
      </c>
      <c r="F1" s="5" t="s">
        <v>46</v>
      </c>
      <c r="G1" s="5" t="s">
        <v>45</v>
      </c>
      <c r="H1" s="5" t="s">
        <v>44</v>
      </c>
      <c r="I1" s="5" t="s">
        <v>43</v>
      </c>
      <c r="J1" s="5" t="s">
        <v>42</v>
      </c>
      <c r="K1" s="5" t="s">
        <v>41</v>
      </c>
      <c r="L1" s="5" t="s">
        <v>40</v>
      </c>
      <c r="M1" s="5" t="s">
        <v>39</v>
      </c>
      <c r="N1" s="5" t="s">
        <v>38</v>
      </c>
      <c r="O1" s="5" t="s">
        <v>37</v>
      </c>
      <c r="P1" s="5" t="s">
        <v>36</v>
      </c>
      <c r="Q1" s="5" t="s">
        <v>35</v>
      </c>
      <c r="R1" s="5" t="s">
        <v>34</v>
      </c>
      <c r="S1" s="5" t="s">
        <v>33</v>
      </c>
      <c r="T1" s="5" t="s">
        <v>32</v>
      </c>
      <c r="U1" s="5" t="s">
        <v>31</v>
      </c>
      <c r="V1" s="5" t="s">
        <v>30</v>
      </c>
      <c r="W1" s="5" t="s">
        <v>29</v>
      </c>
      <c r="X1" s="5" t="s">
        <v>28</v>
      </c>
      <c r="Y1" s="5" t="s">
        <v>27</v>
      </c>
      <c r="Z1" s="5" t="s">
        <v>26</v>
      </c>
      <c r="AA1" s="5" t="s">
        <v>25</v>
      </c>
      <c r="AB1" s="5" t="s">
        <v>24</v>
      </c>
      <c r="AC1" s="5" t="s">
        <v>23</v>
      </c>
      <c r="AD1" s="5" t="s">
        <v>22</v>
      </c>
      <c r="AE1" s="5" t="s">
        <v>21</v>
      </c>
    </row>
    <row r="2" spans="1:31" s="1" customFormat="1" ht="24" customHeight="1">
      <c r="A2" s="2" t="str">
        <f>"10842022051011465483186"</f>
        <v>10842022051011465483186</v>
      </c>
      <c r="B2" s="2" t="s">
        <v>4</v>
      </c>
      <c r="C2" s="2" t="s">
        <v>20</v>
      </c>
      <c r="D2" s="2" t="str">
        <f>"钟腾"</f>
        <v>钟腾</v>
      </c>
      <c r="E2" s="2" t="str">
        <f>"男"</f>
        <v>男</v>
      </c>
      <c r="F2" s="2" t="str">
        <f>"430522199501120016"</f>
        <v>430522199501120016</v>
      </c>
      <c r="G2" s="2" t="str">
        <f>"18274327988"</f>
        <v>18274327988</v>
      </c>
      <c r="H2" s="2" t="str">
        <f>"汉"</f>
        <v>汉</v>
      </c>
      <c r="I2" s="2" t="str">
        <f>"1995-01-12"</f>
        <v>1995-01-12</v>
      </c>
      <c r="J2" s="2" t="str">
        <f>"党员"</f>
        <v>党员</v>
      </c>
      <c r="K2" s="2" t="str">
        <f t="shared" ref="K2:K24" si="0">"全日制硕士研究生"</f>
        <v>全日制硕士研究生</v>
      </c>
      <c r="L2" s="2" t="str">
        <f t="shared" ref="L2:L36" si="1">"硕士"</f>
        <v>硕士</v>
      </c>
      <c r="M2" s="2" t="str">
        <f>"湘潭大学"</f>
        <v>湘潭大学</v>
      </c>
      <c r="N2" s="2" t="str">
        <f>"物理学专业"</f>
        <v>物理学专业</v>
      </c>
      <c r="O2" s="2" t="str">
        <f>"105301201902001030"</f>
        <v>105301201902001030</v>
      </c>
      <c r="P2" s="2" t="str">
        <f>"1053032019100672"</f>
        <v>1053032019100672</v>
      </c>
      <c r="Q2" s="2" t="str">
        <f>"高级中学（物理）（合格证明）"</f>
        <v>高级中学（物理）（合格证明）</v>
      </c>
      <c r="R2" s="2" t="str">
        <f>"15.待业人员"</f>
        <v>15.待业人员</v>
      </c>
      <c r="S2" s="2" t="str">
        <f>"无"</f>
        <v>无</v>
      </c>
      <c r="T2" s="2" t="str">
        <f>"无"</f>
        <v>无</v>
      </c>
      <c r="U2" s="2" t="str">
        <f>"湖南省邵阳市新邵县"</f>
        <v>湖南省邵阳市新邵县</v>
      </c>
      <c r="V2" s="2" t="str">
        <f>"未婚"</f>
        <v>未婚</v>
      </c>
      <c r="W2" s="2" t="str">
        <f>"新邵县人才交流中心"</f>
        <v>新邵县人才交流中心</v>
      </c>
      <c r="X2" s="2" t="str">
        <f>""</f>
        <v/>
      </c>
      <c r="Y2" s="2" t="str">
        <f>"湖南邵阳"</f>
        <v>湖南邵阳</v>
      </c>
      <c r="Z2" s="2" t="str">
        <f>"422000"</f>
        <v>422000</v>
      </c>
      <c r="AA2" s="2" t="str">
        <f>"1845459449@qq.com"</f>
        <v>1845459449@qq.com</v>
      </c>
      <c r="AB2" s="2" t="str">
        <f>"2012年9月 - 2016年6月   吉首大学（本科）2016年9月 - 2019年6月	湘潭大学（硕士研究生)2019年7月 - 2021年3月	广州美维电子有限公司（工作）"</f>
        <v>2012年9月 - 2016年6月   吉首大学（本科）2016年9月 - 2019年6月	湘潭大学（硕士研究生)2019年7月 - 2021年3月	广州美维电子有限公司（工作）</v>
      </c>
      <c r="AC2" s="2" t="str">
        <f>"担任大学物理、电磁学、实验课助教，兼职校外家教：辅导初高中物理/数学"</f>
        <v>担任大学物理、电磁学、实验课助教，兼职校外家教：辅导初高中物理/数学</v>
      </c>
      <c r="AD2" s="2" t="str">
        <f>""</f>
        <v/>
      </c>
      <c r="AE2" s="2" t="str">
        <f>"国家励志奖学金、优秀学生奖学金、优秀学生干部等称号"</f>
        <v>国家励志奖学金、优秀学生奖学金、优秀学生干部等称号</v>
      </c>
    </row>
    <row r="3" spans="1:31" s="1" customFormat="1" ht="24" customHeight="1">
      <c r="A3" s="2" t="str">
        <f>"10842022050915282081949"</f>
        <v>10842022050915282081949</v>
      </c>
      <c r="B3" s="2" t="s">
        <v>4</v>
      </c>
      <c r="C3" s="2" t="s">
        <v>18</v>
      </c>
      <c r="D3" s="2" t="str">
        <f>"廖兴利"</f>
        <v>廖兴利</v>
      </c>
      <c r="E3" s="2" t="str">
        <f>"女"</f>
        <v>女</v>
      </c>
      <c r="F3" s="2" t="str">
        <f>"430482198604132964"</f>
        <v>430482198604132964</v>
      </c>
      <c r="G3" s="2" t="str">
        <f>"15892317071"</f>
        <v>15892317071</v>
      </c>
      <c r="H3" s="2" t="str">
        <f>"汉"</f>
        <v>汉</v>
      </c>
      <c r="I3" s="2" t="str">
        <f>"1986-04-13"</f>
        <v>1986-04-13</v>
      </c>
      <c r="J3" s="2" t="str">
        <f>"党员"</f>
        <v>党员</v>
      </c>
      <c r="K3" s="2" t="str">
        <f t="shared" si="0"/>
        <v>全日制硕士研究生</v>
      </c>
      <c r="L3" s="2" t="str">
        <f t="shared" si="1"/>
        <v>硕士</v>
      </c>
      <c r="M3" s="2" t="str">
        <f>"西华师范大学"</f>
        <v>西华师范大学</v>
      </c>
      <c r="N3" s="2" t="str">
        <f>"生态学"</f>
        <v>生态学</v>
      </c>
      <c r="O3" s="2" t="str">
        <f>"106381201202000315"</f>
        <v>106381201202000315</v>
      </c>
      <c r="P3" s="2" t="str">
        <f>"1063832012000297"</f>
        <v>1063832012000297</v>
      </c>
      <c r="Q3" s="2" t="str">
        <f>"高级中学教师资格证"</f>
        <v>高级中学教师资格证</v>
      </c>
      <c r="R3" s="2" t="str">
        <f>"4.事业单位职员(不含工人)"</f>
        <v>4.事业单位职员(不含工人)</v>
      </c>
      <c r="S3" s="2" t="str">
        <f>"20096130042002112"</f>
        <v>20096130042002112</v>
      </c>
      <c r="T3" s="2" t="str">
        <f>"200906"</f>
        <v>200906</v>
      </c>
      <c r="U3" s="2" t="str">
        <f>"湖南长沙"</f>
        <v>湖南长沙</v>
      </c>
      <c r="V3" s="2" t="str">
        <f>"未婚"</f>
        <v>未婚</v>
      </c>
      <c r="W3" s="2" t="str">
        <f>"湖南省长沙市明达中学"</f>
        <v>湖南省长沙市明达中学</v>
      </c>
      <c r="X3" s="2" t="str">
        <f>""</f>
        <v/>
      </c>
      <c r="Y3" s="2" t="str">
        <f>"长沙县黄兴镇蓝田工业园区长沙市明达中学"</f>
        <v>长沙县黄兴镇蓝田工业园区长沙市明达中学</v>
      </c>
      <c r="Z3" s="2" t="str">
        <f>"410133"</f>
        <v>410133</v>
      </c>
      <c r="AA3" s="2" t="str">
        <f>"243831115@qq.com"</f>
        <v>243831115@qq.com</v>
      </c>
      <c r="AB3" s="2" t="str">
        <f>"2002.9-2005.6   常宁二中        高中2005.9－2009.7	渭南师范学院	学士 2009.9－2012.7	西华师范大       硕士2012.6-2020.4  四川省安岳中学   高中生物教师2020.4-至今     长沙市明达中学   高三生物教师"</f>
        <v>2002.9-2005.6   常宁二中        高中2005.9－2009.7	渭南师范学院	学士 2009.9－2012.7	西华师范大       硕士2012.6-2020.4  四川省安岳中学   高中生物教师2020.4-至今     长沙市明达中学   高三生物教师</v>
      </c>
      <c r="AC3" s="2" t="str">
        <f>""</f>
        <v/>
      </c>
      <c r="AD3" s="2" t="str">
        <f>""</f>
        <v/>
      </c>
      <c r="AE3" s="2" t="str">
        <f>""</f>
        <v/>
      </c>
    </row>
    <row r="4" spans="1:31" s="1" customFormat="1" ht="24" customHeight="1">
      <c r="A4" s="2" t="str">
        <f>"10842022051016314183535"</f>
        <v>10842022051016314183535</v>
      </c>
      <c r="B4" s="2" t="s">
        <v>4</v>
      </c>
      <c r="C4" s="2" t="s">
        <v>18</v>
      </c>
      <c r="D4" s="2" t="str">
        <f>"卓城洁"</f>
        <v>卓城洁</v>
      </c>
      <c r="E4" s="2" t="str">
        <f>"女"</f>
        <v>女</v>
      </c>
      <c r="F4" s="2" t="str">
        <f>"430522199510206583"</f>
        <v>430522199510206583</v>
      </c>
      <c r="G4" s="2" t="str">
        <f>"17670439690"</f>
        <v>17670439690</v>
      </c>
      <c r="H4" s="2" t="str">
        <f>"汉"</f>
        <v>汉</v>
      </c>
      <c r="I4" s="2" t="str">
        <f>"1995-10-20"</f>
        <v>1995-10-20</v>
      </c>
      <c r="J4" s="2" t="str">
        <f>"党员"</f>
        <v>党员</v>
      </c>
      <c r="K4" s="2" t="str">
        <f t="shared" si="0"/>
        <v>全日制硕士研究生</v>
      </c>
      <c r="L4" s="2" t="str">
        <f t="shared" si="1"/>
        <v>硕士</v>
      </c>
      <c r="M4" s="2" t="str">
        <f>"湖南师范大学"</f>
        <v>湖南师范大学</v>
      </c>
      <c r="N4" s="2" t="str">
        <f>"生物化学与分子生物学"</f>
        <v>生物化学与分子生物学</v>
      </c>
      <c r="O4" s="2" t="str">
        <f>"1054232021101128"</f>
        <v>1054232021101128</v>
      </c>
      <c r="P4" s="2" t="str">
        <f>"105421202102001144"</f>
        <v>105421202102001144</v>
      </c>
      <c r="Q4" s="2" t="str">
        <f>"高中生物教师资格证"</f>
        <v>高中生物教师资格证</v>
      </c>
      <c r="R4" s="2" t="str">
        <f>"15.待业人员"</f>
        <v>15.待业人员</v>
      </c>
      <c r="S4" s="2" t="str">
        <f>"20214300242007854"</f>
        <v>20214300242007854</v>
      </c>
      <c r="T4" s="2" t="str">
        <f>"2021-07-27"</f>
        <v>2021-07-27</v>
      </c>
      <c r="U4" s="2" t="str">
        <f>"湖南省长沙市开福区"</f>
        <v>湖南省长沙市开福区</v>
      </c>
      <c r="V4" s="2" t="str">
        <f>"未婚"</f>
        <v>未婚</v>
      </c>
      <c r="W4" s="2" t="str">
        <f>"长沙大学生档案管理处"</f>
        <v>长沙大学生档案管理处</v>
      </c>
      <c r="X4" s="2" t="str">
        <f>""</f>
        <v/>
      </c>
      <c r="Y4" s="2" t="str">
        <f>"湖南省衡阳市祁东县第一中学"</f>
        <v>湖南省衡阳市祁东县第一中学</v>
      </c>
      <c r="Z4" s="2" t="str">
        <f>"421600"</f>
        <v>421600</v>
      </c>
      <c r="AA4" s="2" t="str">
        <f>"1437417436@qq.com"</f>
        <v>1437417436@qq.com</v>
      </c>
      <c r="AB4" s="2" t="str">
        <f>"与应聘岗位相关的实践经历或取得的成绩	2014.9-2018.6  怀化学院   班级团支部书记                  2019.9-2020.9  湖南师范大学  生科院生化-生工研究生党支部副书记2018.10-2020.1	  长沙学成教育机构  辅导高中生物2018.10-2021.6   湖南师范大学生科院  辅助本科生毕业论文，高级生化试验助教"</f>
        <v>与应聘岗位相关的实践经历或取得的成绩	2014.9-2018.6  怀化学院   班级团支部书记                  2019.9-2020.9  湖南师范大学  生科院生化-生工研究生党支部副书记2018.10-2020.1	  长沙学成教育机构  辅导高中生物2018.10-2021.6   湖南师范大学生科院  辅助本科生毕业论文，高级生化试验助教</v>
      </c>
      <c r="AC4" s="2" t="str">
        <f>"2021.9至今       祁东一中       高中生物代课教师"</f>
        <v>2021.9至今       祁东一中       高中生物代课教师</v>
      </c>
      <c r="AD4" s="2" t="str">
        <f>"硕士研究生"</f>
        <v>硕士研究生</v>
      </c>
      <c r="AE4" s="2" t="str">
        <f>""</f>
        <v/>
      </c>
    </row>
    <row r="5" spans="1:31" s="1" customFormat="1" ht="24" customHeight="1">
      <c r="A5" s="2" t="str">
        <f>"10842022051022540283974"</f>
        <v>10842022051022540283974</v>
      </c>
      <c r="B5" s="2" t="s">
        <v>4</v>
      </c>
      <c r="C5" s="2" t="s">
        <v>18</v>
      </c>
      <c r="D5" s="2" t="str">
        <f>"黄东花"</f>
        <v>黄东花</v>
      </c>
      <c r="E5" s="2" t="str">
        <f>"女"</f>
        <v>女</v>
      </c>
      <c r="F5" s="2" t="str">
        <f>"430421199709265343"</f>
        <v>430421199709265343</v>
      </c>
      <c r="G5" s="2" t="str">
        <f>"18593450926"</f>
        <v>18593450926</v>
      </c>
      <c r="H5" s="2" t="str">
        <f>"汉族"</f>
        <v>汉族</v>
      </c>
      <c r="I5" s="2" t="str">
        <f>"1997-09-26"</f>
        <v>1997-09-26</v>
      </c>
      <c r="J5" s="2" t="str">
        <f>"党员"</f>
        <v>党员</v>
      </c>
      <c r="K5" s="2" t="str">
        <f t="shared" si="0"/>
        <v>全日制硕士研究生</v>
      </c>
      <c r="L5" s="2" t="str">
        <f t="shared" si="1"/>
        <v>硕士</v>
      </c>
      <c r="M5" s="2" t="str">
        <f>"湖南师范大学"</f>
        <v>湖南师范大学</v>
      </c>
      <c r="N5" s="2" t="str">
        <f>"遗传学"</f>
        <v>遗传学</v>
      </c>
      <c r="O5" s="2" t="str">
        <f>"应届生"</f>
        <v>应届生</v>
      </c>
      <c r="P5" s="2" t="str">
        <f>"应届生"</f>
        <v>应届生</v>
      </c>
      <c r="Q5" s="2" t="str">
        <f>"高级中学（生物）教师资格证"</f>
        <v>高级中学（生物）教师资格证</v>
      </c>
      <c r="R5" s="2" t="str">
        <f>"15.待业人员"</f>
        <v>15.待业人员</v>
      </c>
      <c r="S5" s="2" t="str">
        <f>"20194300542002848"</f>
        <v>20194300542002848</v>
      </c>
      <c r="T5" s="2" t="str">
        <f>"20190612"</f>
        <v>20190612</v>
      </c>
      <c r="U5" s="2" t="str">
        <f>"湖南衡阳"</f>
        <v>湖南衡阳</v>
      </c>
      <c r="V5" s="2" t="str">
        <f>"未婚"</f>
        <v>未婚</v>
      </c>
      <c r="W5" s="2" t="str">
        <f>"湖南师范大学"</f>
        <v>湖南师范大学</v>
      </c>
      <c r="X5" s="2" t="str">
        <f>""</f>
        <v/>
      </c>
      <c r="Y5" s="2" t="str">
        <f>"湖南衡阳县"</f>
        <v>湖南衡阳县</v>
      </c>
      <c r="Z5" s="2" t="str">
        <f>"421231"</f>
        <v>421231</v>
      </c>
      <c r="AA5" s="2" t="str">
        <f>"1969177372@qq.com"</f>
        <v>1969177372@qq.com</v>
      </c>
      <c r="AB5" s="2" t="str">
        <f>"2012.09-2015.06 衡阳县第一中学（高中） 2015.09-2019.06 衡阳师范学院（本科）生物科学（师范）专业2019.09-2022.06 湖南师范大学（研究生）遗传学专业（生物类） "</f>
        <v xml:space="preserve">2012.09-2015.06 衡阳县第一中学（高中） 2015.09-2019.06 衡阳师范学院（本科）生物科学（师范）专业2019.09-2022.06 湖南师范大学（研究生）遗传学专业（生物类） </v>
      </c>
      <c r="AC5" s="3" t="s">
        <v>19</v>
      </c>
      <c r="AD5" s="2" t="str">
        <f>"硕士，生物类专业"</f>
        <v>硕士，生物类专业</v>
      </c>
      <c r="AE5" s="2" t="str">
        <f>"2015-2019        省级“优秀毕业生”及校级“优秀毕业生”称号。 2015-2019        三次校级奖学金和两次“三好学生”称号。 2017-2018        国家励志奖学金、变废为宝比赛院级三等奖。 2016-2017        大学生英语竞赛校级三等奖、“优秀共青团员”称号、花草种植比赛院级三等奖。 2019-2022        三次获得研究生三等奖学金。 "</f>
        <v xml:space="preserve">2015-2019        省级“优秀毕业生”及校级“优秀毕业生”称号。 2015-2019        三次校级奖学金和两次“三好学生”称号。 2017-2018        国家励志奖学金、变废为宝比赛院级三等奖。 2016-2017        大学生英语竞赛校级三等奖、“优秀共青团员”称号、花草种植比赛院级三等奖。 2019-2022        三次获得研究生三等奖学金。 </v>
      </c>
    </row>
    <row r="6" spans="1:31" s="1" customFormat="1" ht="24" customHeight="1">
      <c r="A6" s="2" t="str">
        <f>"10842022051112501484308"</f>
        <v>10842022051112501484308</v>
      </c>
      <c r="B6" s="2" t="s">
        <v>4</v>
      </c>
      <c r="C6" s="2" t="s">
        <v>18</v>
      </c>
      <c r="D6" s="2" t="str">
        <f>"彭灵芝"</f>
        <v>彭灵芝</v>
      </c>
      <c r="E6" s="2" t="str">
        <f>"女"</f>
        <v>女</v>
      </c>
      <c r="F6" s="2" t="str">
        <f>"430426198701280044"</f>
        <v>430426198701280044</v>
      </c>
      <c r="G6" s="2" t="str">
        <f>"15292273655"</f>
        <v>15292273655</v>
      </c>
      <c r="H6" s="2" t="str">
        <f>"汉"</f>
        <v>汉</v>
      </c>
      <c r="I6" s="2" t="str">
        <f>"1987-01-28"</f>
        <v>1987-01-28</v>
      </c>
      <c r="J6" s="2" t="str">
        <f>"群众"</f>
        <v>群众</v>
      </c>
      <c r="K6" s="2" t="str">
        <f t="shared" si="0"/>
        <v>全日制硕士研究生</v>
      </c>
      <c r="L6" s="2" t="str">
        <f t="shared" si="1"/>
        <v>硕士</v>
      </c>
      <c r="M6" s="2" t="str">
        <f>"湖南师范大学"</f>
        <v>湖南师范大学</v>
      </c>
      <c r="N6" s="2" t="str">
        <f>"细胞生物学"</f>
        <v>细胞生物学</v>
      </c>
      <c r="O6" s="2" t="str">
        <f>"105421201502001162"</f>
        <v>105421201502001162</v>
      </c>
      <c r="P6" s="2" t="str">
        <f>"1054232015001165"</f>
        <v>1054232015001165</v>
      </c>
      <c r="Q6" s="2" t="str">
        <f>"高级中学教师资格"</f>
        <v>高级中学教师资格</v>
      </c>
      <c r="R6" s="2" t="str">
        <f>"8.其他经济组织社会组织人员(不含工人)"</f>
        <v>8.其他经济组织社会组织人员(不含工人)</v>
      </c>
      <c r="S6" s="2" t="str">
        <f>"20114300542002213"</f>
        <v>20114300542002213</v>
      </c>
      <c r="T6" s="2" t="str">
        <f>"2011-05-20"</f>
        <v>2011-05-20</v>
      </c>
      <c r="U6" s="2" t="str">
        <f>"株洲市"</f>
        <v>株洲市</v>
      </c>
      <c r="V6" s="2" t="str">
        <f>"已婚"</f>
        <v>已婚</v>
      </c>
      <c r="W6" s="2" t="str">
        <f>"株洲市人才市场"</f>
        <v>株洲市人才市场</v>
      </c>
      <c r="X6" s="2" t="str">
        <f>""</f>
        <v/>
      </c>
      <c r="Y6" s="2" t="str">
        <f>"株洲市天元区慧谷阳光12栋2006"</f>
        <v>株洲市天元区慧谷阳光12栋2006</v>
      </c>
      <c r="Z6" s="2" t="str">
        <f>"412007"</f>
        <v>412007</v>
      </c>
      <c r="AA6" s="2" t="str">
        <f>"657382073@qq.com"</f>
        <v>657382073@qq.com</v>
      </c>
      <c r="AB6" s="2" t="str">
        <f>"2003.09-2006.06 在祁东县第二中学学习2006.09-2007.06 在鼎兴复读学校学习2007.09-2011.06 在衡阳师范学院学习2012.09-2015.06 在湖南师范大学学习2015.09-至今 在株洲市外国语石峰学校工作"</f>
        <v>2003.09-2006.06 在祁东县第二中学学习2006.09-2007.06 在鼎兴复读学校学习2007.09-2011.06 在衡阳师范学院学习2012.09-2015.06 在湖南师范大学学习2015.09-至今 在株洲市外国语石峰学校工作</v>
      </c>
      <c r="AC6" s="2" t="str">
        <f>"具有七年的生物教学经验"</f>
        <v>具有七年的生物教学经验</v>
      </c>
      <c r="AD6" s="2" t="str">
        <f>"具有高级中学教师资格、中小学一级教师"</f>
        <v>具有高级中学教师资格、中小学一级教师</v>
      </c>
      <c r="AE6" s="2" t="str">
        <f>"2018年株洲市实验说课特等奖、2018年湖南省实验说课三等奖"</f>
        <v>2018年株洲市实验说课特等奖、2018年湖南省实验说课三等奖</v>
      </c>
    </row>
    <row r="7" spans="1:31" s="1" customFormat="1" ht="24" customHeight="1">
      <c r="A7" s="2" t="str">
        <f>"10842022050811031478637"</f>
        <v>10842022050811031478637</v>
      </c>
      <c r="B7" s="2" t="s">
        <v>14</v>
      </c>
      <c r="C7" s="2" t="s">
        <v>17</v>
      </c>
      <c r="D7" s="2" t="str">
        <f>"肖鹏飞"</f>
        <v>肖鹏飞</v>
      </c>
      <c r="E7" s="2" t="str">
        <f>"男"</f>
        <v>男</v>
      </c>
      <c r="F7" s="2" t="str">
        <f>"430426199704128915"</f>
        <v>430426199704128915</v>
      </c>
      <c r="G7" s="2" t="str">
        <f>"15797647290"</f>
        <v>15797647290</v>
      </c>
      <c r="H7" s="2" t="str">
        <f>"汉"</f>
        <v>汉</v>
      </c>
      <c r="I7" s="2" t="str">
        <f>"1997-04-12"</f>
        <v>1997-04-12</v>
      </c>
      <c r="J7" s="2" t="str">
        <f>"党员"</f>
        <v>党员</v>
      </c>
      <c r="K7" s="2" t="str">
        <f t="shared" si="0"/>
        <v>全日制硕士研究生</v>
      </c>
      <c r="L7" s="2" t="str">
        <f t="shared" si="1"/>
        <v>硕士</v>
      </c>
      <c r="M7" s="2" t="str">
        <f>"南昌大学"</f>
        <v>南昌大学</v>
      </c>
      <c r="N7" s="2" t="str">
        <f>"植物学"</f>
        <v>植物学</v>
      </c>
      <c r="O7" s="2" t="str">
        <f>"无"</f>
        <v>无</v>
      </c>
      <c r="P7" s="2" t="str">
        <f>"无"</f>
        <v>无</v>
      </c>
      <c r="Q7" s="2" t="str">
        <f>"高级中学教师资格证"</f>
        <v>高级中学教师资格证</v>
      </c>
      <c r="R7" s="2" t="str">
        <f>"15.待业人员"</f>
        <v>15.待业人员</v>
      </c>
      <c r="S7" s="2" t="str">
        <f>"20194301341000392"</f>
        <v>20194301341000392</v>
      </c>
      <c r="T7" s="2" t="str">
        <f>"2019-6-30"</f>
        <v>2019-6-30</v>
      </c>
      <c r="U7" s="2" t="str">
        <f>"湖南省祁东县"</f>
        <v>湖南省祁东县</v>
      </c>
      <c r="V7" s="2" t="str">
        <f>"未婚"</f>
        <v>未婚</v>
      </c>
      <c r="W7" s="2" t="str">
        <f>"南昌大学"</f>
        <v>南昌大学</v>
      </c>
      <c r="X7" s="2" t="str">
        <f>""</f>
        <v/>
      </c>
      <c r="Y7" s="2" t="str">
        <f>"江西省南昌市红谷滩新区学府大道999号南昌大学前湖校区"</f>
        <v>江西省南昌市红谷滩新区学府大道999号南昌大学前湖校区</v>
      </c>
      <c r="Z7" s="2" t="str">
        <f>"330036"</f>
        <v>330036</v>
      </c>
      <c r="AA7" s="2" t="str">
        <f>"1215367651@qq.com"</f>
        <v>1215367651@qq.com</v>
      </c>
      <c r="AB7" s="2" t="str">
        <f>"2011.09-2014.06     祁东县第一中学2014.09-2015.06     长沙市华鑫补习学校2015.06-2019.09     怀化学院    学士  生物科学专业2019.09-2022.06     南昌大学    硕士  植物学专业"</f>
        <v>2011.09-2014.06     祁东县第一中学2014.09-2015.06     长沙市华鑫补习学校2015.06-2019.09     怀化学院    学士  生物科学专业2019.09-2022.06     南昌大学    硕士  植物学专业</v>
      </c>
      <c r="AC7" s="2" t="str">
        <f>"2018.03-2018.05  怀化市铁路一中实习担任高一生物教师"</f>
        <v>2018.03-2018.05  怀化市铁路一中实习担任高一生物教师</v>
      </c>
      <c r="AD7" s="2" t="str">
        <f>"植物学专业硕士研究生且具有高中教师资格证"</f>
        <v>植物学专业硕士研究生且具有高中教师资格证</v>
      </c>
      <c r="AE7" s="2" t="str">
        <f>"2020-2021学年获研究生一等奖学业奖学金"</f>
        <v>2020-2021学年获研究生一等奖学业奖学金</v>
      </c>
    </row>
    <row r="8" spans="1:31" s="1" customFormat="1" ht="24" customHeight="1">
      <c r="A8" s="2" t="str">
        <f>"10842022050813185479153"</f>
        <v>10842022050813185479153</v>
      </c>
      <c r="B8" s="2" t="s">
        <v>14</v>
      </c>
      <c r="C8" s="2" t="s">
        <v>17</v>
      </c>
      <c r="D8" s="2" t="str">
        <f>"陈薇"</f>
        <v>陈薇</v>
      </c>
      <c r="E8" s="2" t="str">
        <f t="shared" ref="E8:E23" si="2">"女"</f>
        <v>女</v>
      </c>
      <c r="F8" s="2" t="str">
        <f>"430426200002090022"</f>
        <v>430426200002090022</v>
      </c>
      <c r="G8" s="2" t="str">
        <f>"17726147350"</f>
        <v>17726147350</v>
      </c>
      <c r="H8" s="2" t="str">
        <f>"汉族"</f>
        <v>汉族</v>
      </c>
      <c r="I8" s="2" t="str">
        <f>"2000-02-09"</f>
        <v>2000-02-09</v>
      </c>
      <c r="J8" s="2" t="str">
        <f>"群众"</f>
        <v>群众</v>
      </c>
      <c r="K8" s="2" t="str">
        <f t="shared" si="0"/>
        <v>全日制硕士研究生</v>
      </c>
      <c r="L8" s="2" t="str">
        <f t="shared" si="1"/>
        <v>硕士</v>
      </c>
      <c r="M8" s="2" t="str">
        <f>"河南大学"</f>
        <v>河南大学</v>
      </c>
      <c r="N8" s="2" t="str">
        <f>"学科教学（生物）"</f>
        <v>学科教学（生物）</v>
      </c>
      <c r="O8" s="2" t="str">
        <f>"104751202005604478"</f>
        <v>104751202005604478</v>
      </c>
      <c r="P8" s="2" t="str">
        <f>"1047542020604478"</f>
        <v>1047542020604478</v>
      </c>
      <c r="Q8" s="2" t="str">
        <f>"高中生物教师资格证"</f>
        <v>高中生物教师资格证</v>
      </c>
      <c r="R8" s="2" t="str">
        <f>"8.其他经济组织社会组织人员(不含工人)"</f>
        <v>8.其他经济组织社会组织人员(不含工人)</v>
      </c>
      <c r="S8" s="2" t="str">
        <f>"20204101542001177"</f>
        <v>20204101542001177</v>
      </c>
      <c r="T8" s="2" t="str">
        <f>"2020-07-25"</f>
        <v>2020-07-25</v>
      </c>
      <c r="U8" s="2" t="str">
        <f>"湖南省衡阳市祁东县"</f>
        <v>湖南省衡阳市祁东县</v>
      </c>
      <c r="V8" s="2" t="str">
        <f>"未婚"</f>
        <v>未婚</v>
      </c>
      <c r="W8" s="2" t="str">
        <f>"河南大学"</f>
        <v>河南大学</v>
      </c>
      <c r="X8" s="2" t="str">
        <f>"计算机二级、普通话二甲、 英语六级、太极拳四段等"</f>
        <v>计算机二级、普通话二甲、 英语六级、太极拳四段等</v>
      </c>
      <c r="Y8" s="2" t="str">
        <f>"河南省开封市金明大道河南大学（金明校区）生命科学学院"</f>
        <v>河南省开封市金明大道河南大学（金明校区）生命科学学院</v>
      </c>
      <c r="Z8" s="2" t="str">
        <f>"475004"</f>
        <v>475004</v>
      </c>
      <c r="AA8" s="2" t="str">
        <f>"2501436458@qq.com"</f>
        <v>2501436458@qq.com</v>
      </c>
      <c r="AB8" s="2" t="str">
        <f>"2013.09-2016.06 湖南省衡阳市祁东县第一中学高中学习；2016.09-2020.06 河南大学生命科学学院生物科学专业本科学习；2020.09-2022.06 河南大学生命科学学院学科教学（生物）专业硕士研究生学习。"</f>
        <v>2013.09-2016.06 湖南省衡阳市祁东县第一中学高中学习；2016.09-2020.06 河南大学生命科学学院生物科学专业本科学习；2020.09-2022.06 河南大学生命科学学院学科教学（生物）专业硕士研究生学习。</v>
      </c>
      <c r="AC8" s="2" t="str">
        <f>""</f>
        <v/>
      </c>
      <c r="AD8" s="2" t="str">
        <f>"2022年应届硕士毕业生"</f>
        <v>2022年应届硕士毕业生</v>
      </c>
      <c r="AE8" s="2" t="str">
        <f>"本科期间：2019.06院师范专业教学技能大赛三等奖、2020.06校优秀学生干部、2020.06院优秀实习生；研究生期间：2020.11校一等硕士学业奖学金、2020.11院羽毛球研究生女子双人项目一等奖、2021.04第七届全国青年科普创新实验暨作品大赛科普实验单元—生物环境命题（大学组）河南赛区复赛优秀奖、2021.04院学科教学（生物）教学技能大赛二等奖。"</f>
        <v>本科期间：2019.06院师范专业教学技能大赛三等奖、2020.06校优秀学生干部、2020.06院优秀实习生；研究生期间：2020.11校一等硕士学业奖学金、2020.11院羽毛球研究生女子双人项目一等奖、2021.04第七届全国青年科普创新实验暨作品大赛科普实验单元—生物环境命题（大学组）河南赛区复赛优秀奖、2021.04院学科教学（生物）教学技能大赛二等奖。</v>
      </c>
    </row>
    <row r="9" spans="1:31" s="1" customFormat="1" ht="24" customHeight="1">
      <c r="A9" s="2" t="str">
        <f>"10842022050813315379187"</f>
        <v>10842022050813315379187</v>
      </c>
      <c r="B9" s="2" t="s">
        <v>14</v>
      </c>
      <c r="C9" s="2" t="s">
        <v>17</v>
      </c>
      <c r="D9" s="2" t="str">
        <f>"李文倩"</f>
        <v>李文倩</v>
      </c>
      <c r="E9" s="2" t="str">
        <f t="shared" si="2"/>
        <v>女</v>
      </c>
      <c r="F9" s="2" t="str">
        <f>"430426199706157242"</f>
        <v>430426199706157242</v>
      </c>
      <c r="G9" s="2" t="str">
        <f>"18374866175"</f>
        <v>18374866175</v>
      </c>
      <c r="H9" s="2" t="str">
        <f>"汉"</f>
        <v>汉</v>
      </c>
      <c r="I9" s="2" t="str">
        <f>"1997-06-15"</f>
        <v>1997-06-15</v>
      </c>
      <c r="J9" s="2" t="str">
        <f>"共青团员"</f>
        <v>共青团员</v>
      </c>
      <c r="K9" s="2" t="str">
        <f t="shared" si="0"/>
        <v>全日制硕士研究生</v>
      </c>
      <c r="L9" s="2" t="str">
        <f t="shared" si="1"/>
        <v>硕士</v>
      </c>
      <c r="M9" s="2" t="str">
        <f>"湖南师范大学"</f>
        <v>湖南师范大学</v>
      </c>
      <c r="N9" s="2" t="str">
        <f>"生理学"</f>
        <v>生理学</v>
      </c>
      <c r="O9" s="2" t="str">
        <f>"0"</f>
        <v>0</v>
      </c>
      <c r="P9" s="2" t="str">
        <f>"0"</f>
        <v>0</v>
      </c>
      <c r="Q9" s="2" t="str">
        <f>"0"</f>
        <v>0</v>
      </c>
      <c r="R9" s="2" t="str">
        <f>"15.待业人员"</f>
        <v>15.待业人员</v>
      </c>
      <c r="S9" s="2" t="str">
        <f>"0"</f>
        <v>0</v>
      </c>
      <c r="T9" s="2" t="str">
        <f>"0"</f>
        <v>0</v>
      </c>
      <c r="U9" s="2" t="str">
        <f>"湖南省衡阳市"</f>
        <v>湖南省衡阳市</v>
      </c>
      <c r="V9" s="2" t="str">
        <f>"未婚"</f>
        <v>未婚</v>
      </c>
      <c r="W9" s="2" t="str">
        <f>"湖南师范大学"</f>
        <v>湖南师范大学</v>
      </c>
      <c r="X9" s="2" t="str">
        <f>""</f>
        <v/>
      </c>
      <c r="Y9" s="2" t="str">
        <f>"湖南师范大学生命科学学院"</f>
        <v>湖南师范大学生命科学学院</v>
      </c>
      <c r="Z9" s="2" t="str">
        <f>"410006"</f>
        <v>410006</v>
      </c>
      <c r="AA9" s="2" t="str">
        <f>"3304140569@qq.com"</f>
        <v>3304140569@qq.com</v>
      </c>
      <c r="AB9" s="2" t="str">
        <f>"2015.09-2019.07 本科就读于湖南师范大学树达学院生物科学（师范)专业               2019.09-2022.07硕士研究生就读于湖南师范大学生理学专业  "</f>
        <v xml:space="preserve">2015.09-2019.07 本科就读于湖南师范大学树达学院生物科学（师范)专业               2019.09-2022.07硕士研究生就读于湖南师范大学生理学专业  </v>
      </c>
      <c r="AC9" s="2" t="str">
        <f>"2021.09-2021.12 长沙市六中 旁听一线高中生物教师教学并协助在校老师辅导学生课后作业；2018.10-2018.11 在祁东县洪桥镇一中担任生物实习老师，主要负责初一年级两个班级（每个班约 60 人）的生物备课和授课工作，独立授课 10 余节；2016.06-2016.08 在长沙天行教育培训学校担任生物老师/班主任，主要负责初一和初二年级生物教学工作。"</f>
        <v>2021.09-2021.12 长沙市六中 旁听一线高中生物教师教学并协助在校老师辅导学生课后作业；2018.10-2018.11 在祁东县洪桥镇一中担任生物实习老师，主要负责初一年级两个班级（每个班约 60 人）的生物备课和授课工作，独立授课 10 余节；2016.06-2016.08 在长沙天行教育培训学校担任生物老师/班主任，主要负责初一和初二年级生物教学工作。</v>
      </c>
      <c r="AD9" s="2" t="str">
        <f>"研究生学历，并且已取得高中生物教师资格证书。"</f>
        <v>研究生学历，并且已取得高中生物教师资格证书。</v>
      </c>
      <c r="AE9" s="2" t="str">
        <f>"普通话已过二乙，英语已过四级。大学期间获得过国家励志奖学金。研究生期间获得过校三等奖学金。"</f>
        <v>普通话已过二乙，英语已过四级。大学期间获得过国家励志奖学金。研究生期间获得过校三等奖学金。</v>
      </c>
    </row>
    <row r="10" spans="1:31" s="1" customFormat="1" ht="24" customHeight="1">
      <c r="A10" s="2" t="str">
        <f>"10842022050814495479421"</f>
        <v>10842022050814495479421</v>
      </c>
      <c r="B10" s="2" t="s">
        <v>14</v>
      </c>
      <c r="C10" s="2" t="s">
        <v>17</v>
      </c>
      <c r="D10" s="2" t="str">
        <f>"罗素雅"</f>
        <v>罗素雅</v>
      </c>
      <c r="E10" s="2" t="str">
        <f t="shared" si="2"/>
        <v>女</v>
      </c>
      <c r="F10" s="2" t="str">
        <f>"430422199811294606"</f>
        <v>430422199811294606</v>
      </c>
      <c r="G10" s="2" t="str">
        <f>"17857376390"</f>
        <v>17857376390</v>
      </c>
      <c r="H10" s="2" t="str">
        <f>"汉"</f>
        <v>汉</v>
      </c>
      <c r="I10" s="2" t="str">
        <f>"1998-11-29"</f>
        <v>1998-11-29</v>
      </c>
      <c r="J10" s="2" t="str">
        <f>"中共预备党员"</f>
        <v>中共预备党员</v>
      </c>
      <c r="K10" s="2" t="str">
        <f t="shared" si="0"/>
        <v>全日制硕士研究生</v>
      </c>
      <c r="L10" s="2" t="str">
        <f t="shared" si="1"/>
        <v>硕士</v>
      </c>
      <c r="M10" s="2" t="str">
        <f>"宁波大学"</f>
        <v>宁波大学</v>
      </c>
      <c r="N10" s="2" t="str">
        <f>"海洋生物学"</f>
        <v>海洋生物学</v>
      </c>
      <c r="O10" s="2" t="str">
        <f>"无（应届毕业生）"</f>
        <v>无（应届毕业生）</v>
      </c>
      <c r="P10" s="2" t="str">
        <f>"无（应届毕业生）"</f>
        <v>无（应届毕业生）</v>
      </c>
      <c r="Q10" s="2" t="str">
        <f>"高级中学教师资格证"</f>
        <v>高级中学教师资格证</v>
      </c>
      <c r="R10" s="2" t="str">
        <f>"15.待业人员"</f>
        <v>15.待业人员</v>
      </c>
      <c r="S10" s="2" t="str">
        <f>"20194301342000782"</f>
        <v>20194301342000782</v>
      </c>
      <c r="T10" s="2" t="str">
        <f>"2019-06-30"</f>
        <v>2019-06-30</v>
      </c>
      <c r="U10" s="2" t="str">
        <f>"湖南衡阳"</f>
        <v>湖南衡阳</v>
      </c>
      <c r="V10" s="2" t="str">
        <f>"未婚"</f>
        <v>未婚</v>
      </c>
      <c r="W10" s="2" t="str">
        <f>"宁波大学海洋学院"</f>
        <v>宁波大学海洋学院</v>
      </c>
      <c r="X10" s="2" t="str">
        <f>""</f>
        <v/>
      </c>
      <c r="Y10" s="2" t="str">
        <f>"湖南省衡阳市衡南县茶市镇清泉中学"</f>
        <v>湖南省衡阳市衡南县茶市镇清泉中学</v>
      </c>
      <c r="Z10" s="2" t="str">
        <f>"421141"</f>
        <v>421141</v>
      </c>
      <c r="AA10" s="2" t="str">
        <f>"a986644857@163.com"</f>
        <v>a986644857@163.com</v>
      </c>
      <c r="AB10" s="2" t="str">
        <f>"2012.09-2015.06 衡阳市第一中学2015.09-2019.06 怀化学院 生物科学（师范）本科 学士2019.08-2022.06 宁波大学 海洋生物学 硕士研究生 硕士"</f>
        <v>2012.09-2015.06 衡阳市第一中学2015.09-2019.06 怀化学院 生物科学（师范）本科 学士2019.08-2022.06 宁波大学 海洋生物学 硕士研究生 硕士</v>
      </c>
      <c r="AC10" s="2" t="str">
        <f>"2018年3月5日到2018年6月23日 怀化市铁路第一中学实习高中生物教学"</f>
        <v>2018年3月5日到2018年6月23日 怀化市铁路第一中学实习高中生物教学</v>
      </c>
      <c r="AD10" s="2" t="str">
        <f>""</f>
        <v/>
      </c>
      <c r="AE10" s="2" t="str">
        <f>""</f>
        <v/>
      </c>
    </row>
    <row r="11" spans="1:31" s="1" customFormat="1" ht="24" customHeight="1">
      <c r="A11" s="2" t="str">
        <f>"10842022050809475778222"</f>
        <v>10842022050809475778222</v>
      </c>
      <c r="B11" s="2" t="s">
        <v>14</v>
      </c>
      <c r="C11" s="2" t="s">
        <v>13</v>
      </c>
      <c r="D11" s="2" t="str">
        <f>"李思"</f>
        <v>李思</v>
      </c>
      <c r="E11" s="2" t="str">
        <f t="shared" si="2"/>
        <v>女</v>
      </c>
      <c r="F11" s="2" t="str">
        <f>"430426199902225169"</f>
        <v>430426199902225169</v>
      </c>
      <c r="G11" s="2" t="str">
        <f>"18390009923"</f>
        <v>18390009923</v>
      </c>
      <c r="H11" s="2" t="str">
        <f>"汉"</f>
        <v>汉</v>
      </c>
      <c r="I11" s="2" t="str">
        <f>"1999-02-22"</f>
        <v>1999-02-22</v>
      </c>
      <c r="J11" s="2" t="str">
        <f>"中共预备党员"</f>
        <v>中共预备党员</v>
      </c>
      <c r="K11" s="2" t="str">
        <f t="shared" si="0"/>
        <v>全日制硕士研究生</v>
      </c>
      <c r="L11" s="2" t="str">
        <f t="shared" si="1"/>
        <v>硕士</v>
      </c>
      <c r="M11" s="2" t="str">
        <f>"广西师范大学"</f>
        <v>广西师范大学</v>
      </c>
      <c r="N11" s="2" t="str">
        <f>"学科英语"</f>
        <v>学科英语</v>
      </c>
      <c r="O11" s="2" t="str">
        <f>"暂无"</f>
        <v>暂无</v>
      </c>
      <c r="P11" s="2" t="str">
        <f>"暂无"</f>
        <v>暂无</v>
      </c>
      <c r="Q11" s="2" t="str">
        <f>"暂无"</f>
        <v>暂无</v>
      </c>
      <c r="R11" s="2" t="str">
        <f>"15.待业人员"</f>
        <v>15.待业人员</v>
      </c>
      <c r="S11" s="2" t="str">
        <f>"暂无"</f>
        <v>暂无</v>
      </c>
      <c r="T11" s="2" t="str">
        <f>"暂无"</f>
        <v>暂无</v>
      </c>
      <c r="U11" s="2" t="str">
        <f>"湖南省衡阳市祁东县"</f>
        <v>湖南省衡阳市祁东县</v>
      </c>
      <c r="V11" s="2" t="str">
        <f>"未婚"</f>
        <v>未婚</v>
      </c>
      <c r="W11" s="2" t="str">
        <f>"广西师范大学"</f>
        <v>广西师范大学</v>
      </c>
      <c r="X11" s="2" t="str">
        <f>"唱歌，排球"</f>
        <v>唱歌，排球</v>
      </c>
      <c r="Y11" s="2" t="str">
        <f>"湖南省衡阳市祁东县开城小区"</f>
        <v>湖南省衡阳市祁东县开城小区</v>
      </c>
      <c r="Z11" s="2" t="str">
        <f>"421600"</f>
        <v>421600</v>
      </c>
      <c r="AA11" s="2" t="str">
        <f>"596311673@qq.com"</f>
        <v>596311673@qq.com</v>
      </c>
      <c r="AB11" s="2" t="str">
        <f>"2013.09-2016.06	衡阳市祁东县第二中学	2016.09-2020.06	湖南理工学院南湖学院	  英语专业2020.09-2022.06	广西师范大学	学科英语专业"</f>
        <v>2013.09-2016.06	衡阳市祁东县第二中学	2016.09-2020.06	湖南理工学院南湖学院	  英语专业2020.09-2022.06	广西师范大学	学科英语专业</v>
      </c>
      <c r="AC11" s="2" t="str">
        <f>"2021.09- 2022.01  衡阳市第一中学   实习英语教师"</f>
        <v>2021.09- 2022.01  衡阳市第一中学   实习英语教师</v>
      </c>
      <c r="AD11" s="2" t="str">
        <f>"CET-4 ；CET-6；TEM-4；TEM8；教师资格证（高级英语）；普通话等级考试；国家计算机二级"</f>
        <v>CET-4 ；CET-6；TEM-4；TEM8；教师资格证（高级英语）；普通话等级考试；国家计算机二级</v>
      </c>
      <c r="AE11" s="2" t="str">
        <f>"2019-2020年南湖学院“优秀毕业生”称号；2019-2020年南湖学院“优秀共青团员”；2020-2021年广西师范大学“优秀共青团员”；2021-2022年广西师范大学硕士二等奖学金；2020年广西师范大学硕士三等奖学金"</f>
        <v>2019-2020年南湖学院“优秀毕业生”称号；2019-2020年南湖学院“优秀共青团员”；2020-2021年广西师范大学“优秀共青团员”；2021-2022年广西师范大学硕士二等奖学金；2020年广西师范大学硕士三等奖学金</v>
      </c>
    </row>
    <row r="12" spans="1:31" s="1" customFormat="1" ht="24" customHeight="1">
      <c r="A12" s="2" t="str">
        <f>"10842022050817175279801"</f>
        <v>10842022050817175279801</v>
      </c>
      <c r="B12" s="2" t="s">
        <v>14</v>
      </c>
      <c r="C12" s="2" t="s">
        <v>13</v>
      </c>
      <c r="D12" s="2" t="str">
        <f>"贺倩"</f>
        <v>贺倩</v>
      </c>
      <c r="E12" s="2" t="str">
        <f t="shared" si="2"/>
        <v>女</v>
      </c>
      <c r="F12" s="2" t="str">
        <f>"430482199410029349"</f>
        <v>430482199410029349</v>
      </c>
      <c r="G12" s="2" t="str">
        <f>"13875558004"</f>
        <v>13875558004</v>
      </c>
      <c r="H12" s="2" t="str">
        <f>"汉族"</f>
        <v>汉族</v>
      </c>
      <c r="I12" s="2" t="str">
        <f>"1994-10-02"</f>
        <v>1994-10-02</v>
      </c>
      <c r="J12" s="2" t="str">
        <f>"党员"</f>
        <v>党员</v>
      </c>
      <c r="K12" s="2" t="str">
        <f t="shared" si="0"/>
        <v>全日制硕士研究生</v>
      </c>
      <c r="L12" s="2" t="str">
        <f t="shared" si="1"/>
        <v>硕士</v>
      </c>
      <c r="M12" s="2" t="str">
        <f>"四川外国语大学"</f>
        <v>四川外国语大学</v>
      </c>
      <c r="N12" s="2" t="str">
        <f>"英语口译"</f>
        <v>英语口译</v>
      </c>
      <c r="O12" s="2" t="str">
        <f>"106501202002000518"</f>
        <v>106501202002000518</v>
      </c>
      <c r="P12" s="2" t="str">
        <f>"1065032020000518"</f>
        <v>1065032020000518</v>
      </c>
      <c r="Q12" s="2" t="str">
        <f>"高中英语教师资格证"</f>
        <v>高中英语教师资格证</v>
      </c>
      <c r="R12" s="2" t="str">
        <f>"15.待业人员"</f>
        <v>15.待业人员</v>
      </c>
      <c r="S12" s="2" t="str">
        <f>"20195000142000432"</f>
        <v>20195000142000432</v>
      </c>
      <c r="T12" s="2" t="str">
        <f>"2019-04-30"</f>
        <v>2019-04-30</v>
      </c>
      <c r="U12" s="2" t="str">
        <f>"湖南常宁"</f>
        <v>湖南常宁</v>
      </c>
      <c r="V12" s="2" t="str">
        <f>"已婚"</f>
        <v>已婚</v>
      </c>
      <c r="W12" s="2" t="str">
        <f>"常宁市人力资源与社会保障局"</f>
        <v>常宁市人力资源与社会保障局</v>
      </c>
      <c r="X12" s="2" t="str">
        <f>"乒乓球"</f>
        <v>乒乓球</v>
      </c>
      <c r="Y12" s="2" t="str">
        <f>"湖南省常宁市培元街道瑞峰苑小区"</f>
        <v>湖南省常宁市培元街道瑞峰苑小区</v>
      </c>
      <c r="Z12" s="2" t="str">
        <f>"421500"</f>
        <v>421500</v>
      </c>
      <c r="AA12" s="2" t="str">
        <f>"1344785085@qq.com"</f>
        <v>1344785085@qq.com</v>
      </c>
      <c r="AB12" s="2" t="str">
        <f>"2010年9月-2013年6月 就读于常宁市第一中学；2013年9月-2014年6月 就读于常宁市第六中学；2014年9月-2018年6月 就读于湘南学院商务英语专业；2018年9月-2020年6月 就读于四川外国语大学英语口译专业；2020年9月-2021年7月 就业于湖南省嘉禾县第一中学（目前已弃编离职）；2021年9月-至今 就业于常宁市尚宇学校（编外人士）。"</f>
        <v>2010年9月-2013年6月 就读于常宁市第一中学；2013年9月-2014年6月 就读于常宁市第六中学；2014年9月-2018年6月 就读于湘南学院商务英语专业；2018年9月-2020年6月 就读于四川外国语大学英语口译专业；2020年9月-2021年7月 就业于湖南省嘉禾县第一中学（目前已弃编离职）；2021年9月-至今 就业于常宁市尚宇学校（编外人士）。</v>
      </c>
      <c r="AC12" s="2" t="str">
        <f>"2020年9月-2021年7月 就业于湖南省嘉禾县第一中学，任职高中英语教师；2021年9月-至今 就业于常宁市尚宇学校，任职高中英语教师。"</f>
        <v>2020年9月-2021年7月 就业于湖南省嘉禾县第一中学，任职高中英语教师；2021年9月-至今 就业于常宁市尚宇学校，任职高中英语教师。</v>
      </c>
      <c r="AD12" s="2" t="str">
        <f>"无"</f>
        <v>无</v>
      </c>
      <c r="AE12" s="2" t="str">
        <f>"无"</f>
        <v>无</v>
      </c>
    </row>
    <row r="13" spans="1:31" s="1" customFormat="1" ht="24" customHeight="1">
      <c r="A13" s="2" t="str">
        <f>"10842022050818172479914"</f>
        <v>10842022050818172479914</v>
      </c>
      <c r="B13" s="2" t="s">
        <v>14</v>
      </c>
      <c r="C13" s="2" t="s">
        <v>13</v>
      </c>
      <c r="D13" s="2" t="str">
        <f>"王艳芳"</f>
        <v>王艳芳</v>
      </c>
      <c r="E13" s="2" t="str">
        <f t="shared" si="2"/>
        <v>女</v>
      </c>
      <c r="F13" s="2" t="str">
        <f>"430426199510026646"</f>
        <v>430426199510026646</v>
      </c>
      <c r="G13" s="2" t="str">
        <f>"13100267905"</f>
        <v>13100267905</v>
      </c>
      <c r="H13" s="2" t="str">
        <f>"汉族"</f>
        <v>汉族</v>
      </c>
      <c r="I13" s="2" t="str">
        <f>"1995-10-02"</f>
        <v>1995-10-02</v>
      </c>
      <c r="J13" s="2" t="str">
        <f>"共青团员"</f>
        <v>共青团员</v>
      </c>
      <c r="K13" s="2" t="str">
        <f t="shared" si="0"/>
        <v>全日制硕士研究生</v>
      </c>
      <c r="L13" s="2" t="str">
        <f t="shared" si="1"/>
        <v>硕士</v>
      </c>
      <c r="M13" s="2" t="str">
        <f>"广西师范大学"</f>
        <v>广西师范大学</v>
      </c>
      <c r="N13" s="2" t="str">
        <f>"外国语言文学"</f>
        <v>外国语言文学</v>
      </c>
      <c r="O13" s="2" t="str">
        <f>"106021202002001033"</f>
        <v>106021202002001033</v>
      </c>
      <c r="P13" s="2" t="str">
        <f>"1060232020000539"</f>
        <v>1060232020000539</v>
      </c>
      <c r="Q13" s="2" t="str">
        <f>"英语学科高级中学教师资格证"</f>
        <v>英语学科高级中学教师资格证</v>
      </c>
      <c r="R13" s="2" t="str">
        <f>"4.事业单位职员(不含工人)"</f>
        <v>4.事业单位职员(不含工人)</v>
      </c>
      <c r="S13" s="2" t="str">
        <f>"20174300542001656"</f>
        <v>20174300542001656</v>
      </c>
      <c r="T13" s="2" t="str">
        <f>"2017-06-10"</f>
        <v>2017-06-10</v>
      </c>
      <c r="U13" s="2" t="str">
        <f>"湖南省祁东县石亭子镇长安村一组"</f>
        <v>湖南省祁东县石亭子镇长安村一组</v>
      </c>
      <c r="V13" s="2" t="str">
        <f>"未婚"</f>
        <v>未婚</v>
      </c>
      <c r="W13" s="2" t="str">
        <f>"祁东县人力资源就业服务中心"</f>
        <v>祁东县人力资源就业服务中心</v>
      </c>
      <c r="X13" s="2" t="str">
        <f>""</f>
        <v/>
      </c>
      <c r="Y13" s="2" t="str">
        <f>"湖南省祁东县第二中学"</f>
        <v>湖南省祁东县第二中学</v>
      </c>
      <c r="Z13" s="2" t="str">
        <f>"421600"</f>
        <v>421600</v>
      </c>
      <c r="AA13" s="2" t="str">
        <f>"1405928719@qq.com"</f>
        <v>1405928719@qq.com</v>
      </c>
      <c r="AB13" s="2" t="str">
        <f>"2010年9月至2013年6月就读于湖南省祁东县第二中学；2013年9月至2017年6月就读于衡阳师范学院；2017年9月至2020年6月就读于广西师范大学。"</f>
        <v>2010年9月至2013年6月就读于湖南省祁东县第二中学；2013年9月至2017年6月就读于衡阳师范学院；2017年9月至2020年6月就读于广西师范大学。</v>
      </c>
      <c r="AC13" s="2" t="str">
        <f>"2016年10月至12月期间在衡阳市第六中学担任实习班主任和高一英语教师；2020年9月至今在湖南省祁东县第二中学担任高中英语教师。"</f>
        <v>2016年10月至12月期间在衡阳市第六中学担任实习班主任和高一英语教师；2020年9月至今在湖南省祁东县第二中学担任高中英语教师。</v>
      </c>
      <c r="AD13" s="2" t="str">
        <f>""</f>
        <v/>
      </c>
      <c r="AE13" s="2" t="str">
        <f>"2017年至2020年多次获国家学业奖学金；2017年获广西英语翻译大赛暨“外研社杯”全国英语写作、翻译、阅读大赛优秀奖；2014至2015年连续两年获国家励志奖学金；2015年获得“外研社杯”全国英语写作大赛湖南省一等奖。"</f>
        <v>2017年至2020年多次获国家学业奖学金；2017年获广西英语翻译大赛暨“外研社杯”全国英语写作、翻译、阅读大赛优秀奖；2014至2015年连续两年获国家励志奖学金；2015年获得“外研社杯”全国英语写作大赛湖南省一等奖。</v>
      </c>
    </row>
    <row r="14" spans="1:31" s="1" customFormat="1" ht="24" customHeight="1">
      <c r="A14" s="2" t="str">
        <f>"10842022050910545181229"</f>
        <v>10842022050910545181229</v>
      </c>
      <c r="B14" s="2" t="s">
        <v>14</v>
      </c>
      <c r="C14" s="2" t="s">
        <v>13</v>
      </c>
      <c r="D14" s="2" t="str">
        <f>"周宁"</f>
        <v>周宁</v>
      </c>
      <c r="E14" s="2" t="str">
        <f t="shared" si="2"/>
        <v>女</v>
      </c>
      <c r="F14" s="2" t="str">
        <f>"430426199108172725"</f>
        <v>430426199108172725</v>
      </c>
      <c r="G14" s="2" t="str">
        <f>"14789765205"</f>
        <v>14789765205</v>
      </c>
      <c r="H14" s="2" t="str">
        <f>"汉"</f>
        <v>汉</v>
      </c>
      <c r="I14" s="2" t="str">
        <f>"1991-08-17"</f>
        <v>1991-08-17</v>
      </c>
      <c r="J14" s="2" t="str">
        <f>"党员"</f>
        <v>党员</v>
      </c>
      <c r="K14" s="2" t="str">
        <f t="shared" si="0"/>
        <v>全日制硕士研究生</v>
      </c>
      <c r="L14" s="2" t="str">
        <f t="shared" si="1"/>
        <v>硕士</v>
      </c>
      <c r="M14" s="2" t="str">
        <f>"湖南大学"</f>
        <v>湖南大学</v>
      </c>
      <c r="N14" s="2" t="str">
        <f>"英语语言文学"</f>
        <v>英语语言文学</v>
      </c>
      <c r="O14" s="2" t="str">
        <f>"105321201602001759"</f>
        <v>105321201602001759</v>
      </c>
      <c r="P14" s="2" t="str">
        <f>"1053232016100226"</f>
        <v>1053232016100226</v>
      </c>
      <c r="Q14" s="2" t="str">
        <f>"高中英语教师资格证"</f>
        <v>高中英语教师资格证</v>
      </c>
      <c r="R14" s="2" t="str">
        <f>"8.其他经济组织社会组织人员(不含工人)"</f>
        <v>8.其他经济组织社会组织人员(不含工人)</v>
      </c>
      <c r="S14" s="2" t="str">
        <f>"20144300542003213"</f>
        <v>20144300542003213</v>
      </c>
      <c r="T14" s="2" t="str">
        <f>"2014-11-30"</f>
        <v>2014-11-30</v>
      </c>
      <c r="U14" s="2" t="str">
        <f>"湖南省衡阳市祁东县"</f>
        <v>湖南省衡阳市祁东县</v>
      </c>
      <c r="V14" s="2" t="str">
        <f>"已婚"</f>
        <v>已婚</v>
      </c>
      <c r="W14" s="2" t="str">
        <f>"广东省中山市人力资源和社会保障局"</f>
        <v>广东省中山市人力资源和社会保障局</v>
      </c>
      <c r="X14" s="2" t="str">
        <f>""</f>
        <v/>
      </c>
      <c r="Y14" s="2" t="str">
        <f>"湖南省衡阳市祁东县归阳镇太平街"</f>
        <v>湖南省衡阳市祁东县归阳镇太平街</v>
      </c>
      <c r="Z14" s="2" t="str">
        <f>"410086"</f>
        <v>410086</v>
      </c>
      <c r="AA14" s="2" t="str">
        <f>"1210299387@qq.com"</f>
        <v>1210299387@qq.com</v>
      </c>
      <c r="AB14" s="2" t="str">
        <f>"2006.9-2009.6 祁东二中  高中2009.8-2013.6  湖南大学 本科 英语（专业成绩年级第6）2013.9-2016.6	湖南大学 硕士 英语语言文学（保研，专业总成绩年级第2）2016.07-2018.07    中山市新学林教育科技有限公司2018.08-至今        祁东归阳成章学校   初中英语教师"</f>
        <v>2006.9-2009.6 祁东二中  高中2009.8-2013.6  湖南大学 本科 英语（专业成绩年级第6）2013.9-2016.6	湖南大学 硕士 英语语言文学（保研，专业总成绩年级第2）2016.07-2018.07    中山市新学林教育科技有限公司2018.08-至今        祁东归阳成章学校   初中英语教师</v>
      </c>
      <c r="AC14" s="2" t="str">
        <f>"2015.09-2016.02 湖南信息职业技术学院   大学英语代课老师2015.03-2016.05  湖南大学外国语学院培训中心PETS5培训班班主任2014.04-2014.10 湖南大学 英语写作实训课程和慕课课程助教2013.10-2015.07	湖南大学外院13级本科班兼职班主任2018.08-至今    祁东归阳成章学校   初中英语教师"</f>
        <v>2015.09-2016.02 湖南信息职业技术学院   大学英语代课老师2015.03-2016.05  湖南大学外国语学院培训中心PETS5培训班班主任2014.04-2014.10 湖南大学 英语写作实训课程和慕课课程助教2013.10-2015.07	湖南大学外院13级本科班兼职班主任2018.08-至今    祁东归阳成章学校   初中英语教师</v>
      </c>
      <c r="AD14" s="2" t="str">
        <f>"1、所学专业为英语语言语言文学，与岗位要求专业一致，且具有高中英语教师资格证书。2、学历学位为硕士研究生。3、1991年8月出生，年龄在40周岁以下。"</f>
        <v>1、所学专业为英语语言语言文学，与岗位要求专业一致，且具有高中英语教师资格证书。2、学历学位为硕士研究生。3、1991年8月出生，年龄在40周岁以下。</v>
      </c>
      <c r="AE14" s="2" t="str">
        <f>"专四成绩优秀，专八成绩良好。雅思成绩7.5分，普通话二甲，获得国家计算机二级证书。两次获得国家励志奖学金和湖南大学校三好学生称号，获得湖南大学研究生全额奖学金。读研时担任湖南大学外国语13级本科班兼职班主任。2014年作为与会代表在华中师范大学组织的第二届国际族裔文学会议上发言。参与校对和翻译作品《忏悔录》（The Confessions）和《禅定荒野》（Practice of the Wild）。参与筹备湖南大学2015年生态诗学、绘画诗学暨加里·斯奈德国际会议。"</f>
        <v>专四成绩优秀，专八成绩良好。雅思成绩7.5分，普通话二甲，获得国家计算机二级证书。两次获得国家励志奖学金和湖南大学校三好学生称号，获得湖南大学研究生全额奖学金。读研时担任湖南大学外国语13级本科班兼职班主任。2014年作为与会代表在华中师范大学组织的第二届国际族裔文学会议上发言。参与校对和翻译作品《忏悔录》（The Confessions）和《禅定荒野》（Practice of the Wild）。参与筹备湖南大学2015年生态诗学、绘画诗学暨加里·斯奈德国际会议。</v>
      </c>
    </row>
    <row r="15" spans="1:31" s="1" customFormat="1" ht="24" customHeight="1">
      <c r="A15" s="2" t="str">
        <f>"10842022050915374781975"</f>
        <v>10842022050915374781975</v>
      </c>
      <c r="B15" s="2" t="s">
        <v>14</v>
      </c>
      <c r="C15" s="2" t="s">
        <v>13</v>
      </c>
      <c r="D15" s="2" t="str">
        <f>"王芳玉"</f>
        <v>王芳玉</v>
      </c>
      <c r="E15" s="2" t="str">
        <f t="shared" si="2"/>
        <v>女</v>
      </c>
      <c r="F15" s="2" t="str">
        <f>"43042119980703678X"</f>
        <v>43042119980703678X</v>
      </c>
      <c r="G15" s="2" t="str">
        <f>"15173452264"</f>
        <v>15173452264</v>
      </c>
      <c r="H15" s="2" t="str">
        <f>"汉族"</f>
        <v>汉族</v>
      </c>
      <c r="I15" s="2" t="str">
        <f>"1998-07-03"</f>
        <v>1998-07-03</v>
      </c>
      <c r="J15" s="2" t="str">
        <f>"共青团员"</f>
        <v>共青团员</v>
      </c>
      <c r="K15" s="2" t="str">
        <f t="shared" si="0"/>
        <v>全日制硕士研究生</v>
      </c>
      <c r="L15" s="2" t="str">
        <f t="shared" si="1"/>
        <v>硕士</v>
      </c>
      <c r="M15" s="2" t="str">
        <f>"吉林外国语大学"</f>
        <v>吉林外国语大学</v>
      </c>
      <c r="N15" s="2" t="str">
        <f>"学科教学（英语）"</f>
        <v>学科教学（英语）</v>
      </c>
      <c r="O15" s="2" t="str">
        <f>"应届毕业生"</f>
        <v>应届毕业生</v>
      </c>
      <c r="P15" s="2" t="str">
        <f>"应届毕业生"</f>
        <v>应届毕业生</v>
      </c>
      <c r="Q15" s="2" t="str">
        <f>"英语、高中"</f>
        <v>英语、高中</v>
      </c>
      <c r="R15" s="2" t="str">
        <f>"15.待业人员"</f>
        <v>15.待业人员</v>
      </c>
      <c r="S15" s="2" t="str">
        <f>"20204300542000968"</f>
        <v>20204300542000968</v>
      </c>
      <c r="T15" s="2" t="str">
        <f>"2020-07-03"</f>
        <v>2020-07-03</v>
      </c>
      <c r="U15" s="2" t="str">
        <f>"湖南衡阳"</f>
        <v>湖南衡阳</v>
      </c>
      <c r="V15" s="2" t="str">
        <f>"未婚"</f>
        <v>未婚</v>
      </c>
      <c r="W15" s="2" t="str">
        <f>"吉林外国语大学"</f>
        <v>吉林外国语大学</v>
      </c>
      <c r="X15" s="2" t="str">
        <f>"语言表达和组织协调能力强"</f>
        <v>语言表达和组织协调能力强</v>
      </c>
      <c r="Y15" s="2" t="str">
        <f>"湖南省衡阳市衡阳县洪市镇"</f>
        <v>湖南省衡阳市衡阳县洪市镇</v>
      </c>
      <c r="Z15" s="2" t="str">
        <f>"421236"</f>
        <v>421236</v>
      </c>
      <c r="AA15" s="2" t="str">
        <f>"1678588249@qq.com"</f>
        <v>1678588249@qq.com</v>
      </c>
      <c r="AB15" s="2" t="str">
        <f>"2016年9月1日-2020年6月20日 湖南文理学院芙蓉学院2020年9月1日-2020年6月20日 吉林外国语大学"</f>
        <v>2016年9月1日-2020年6月20日 湖南文理学院芙蓉学院2020年9月1日-2020年6月20日 吉林外国语大学</v>
      </c>
      <c r="AC15" s="3" t="s">
        <v>16</v>
      </c>
      <c r="AD15" s="2" t="str">
        <f>"研究生"</f>
        <v>研究生</v>
      </c>
      <c r="AE15" s="2" t="str">
        <f>"&amp;#61692;2020.9     研究生入学奖学金     2018.6   女生部副部长2017.12    优秀工作人员         2018.6   优秀宿管干部"</f>
        <v>&amp;#61692;2020.9     研究生入学奖学金     2018.6   女生部副部长2017.12    优秀工作人员         2018.6   优秀宿管干部</v>
      </c>
    </row>
    <row r="16" spans="1:31" s="1" customFormat="1" ht="24" customHeight="1">
      <c r="A16" s="2" t="str">
        <f>"10842022051008520382927"</f>
        <v>10842022051008520382927</v>
      </c>
      <c r="B16" s="2" t="s">
        <v>14</v>
      </c>
      <c r="C16" s="2" t="s">
        <v>13</v>
      </c>
      <c r="D16" s="2" t="str">
        <f>"王秋月"</f>
        <v>王秋月</v>
      </c>
      <c r="E16" s="2" t="str">
        <f t="shared" si="2"/>
        <v>女</v>
      </c>
      <c r="F16" s="2" t="str">
        <f>"430426199507040041"</f>
        <v>430426199507040041</v>
      </c>
      <c r="G16" s="2" t="str">
        <f>"15201691546"</f>
        <v>15201691546</v>
      </c>
      <c r="H16" s="2" t="str">
        <f>"汉"</f>
        <v>汉</v>
      </c>
      <c r="I16" s="2" t="str">
        <f>"1995-07-04"</f>
        <v>1995-07-04</v>
      </c>
      <c r="J16" s="2" t="str">
        <f>"共青团员"</f>
        <v>共青团员</v>
      </c>
      <c r="K16" s="2" t="str">
        <f t="shared" si="0"/>
        <v>全日制硕士研究生</v>
      </c>
      <c r="L16" s="2" t="str">
        <f t="shared" si="1"/>
        <v>硕士</v>
      </c>
      <c r="M16" s="2" t="str">
        <f>"北京外国语大学"</f>
        <v>北京外国语大学</v>
      </c>
      <c r="N16" s="2" t="str">
        <f>"英语笔译"</f>
        <v>英语笔译</v>
      </c>
      <c r="O16" s="2" t="str">
        <f>"100301202002000749"</f>
        <v>100301202002000749</v>
      </c>
      <c r="P16" s="2" t="str">
        <f>"1003032020020372"</f>
        <v>1003032020020372</v>
      </c>
      <c r="Q16" s="2" t="str">
        <f>"无"</f>
        <v>无</v>
      </c>
      <c r="R16" s="2" t="str">
        <f>"15.待业人员"</f>
        <v>15.待业人员</v>
      </c>
      <c r="S16" s="2" t="str">
        <f>"无"</f>
        <v>无</v>
      </c>
      <c r="T16" s="2" t="str">
        <f>"无"</f>
        <v>无</v>
      </c>
      <c r="U16" s="2" t="str">
        <f>"湖南衡阳"</f>
        <v>湖南衡阳</v>
      </c>
      <c r="V16" s="2" t="str">
        <f>"未婚"</f>
        <v>未婚</v>
      </c>
      <c r="W16" s="2" t="str">
        <f>"衡阳市人才交流中心"</f>
        <v>衡阳市人才交流中心</v>
      </c>
      <c r="X16" s="2" t="str">
        <f>""</f>
        <v/>
      </c>
      <c r="Y16" s="2" t="str">
        <f>"湖南省衡阳市祁东县文化馆"</f>
        <v>湖南省衡阳市祁东县文化馆</v>
      </c>
      <c r="Z16" s="2" t="str">
        <f>"421600"</f>
        <v>421600</v>
      </c>
      <c r="AA16" s="2" t="str">
        <f>"1049078997@qq.com"</f>
        <v>1049078997@qq.com</v>
      </c>
      <c r="AB16" s="2" t="str">
        <f>"2010.09-2013.06  湖南省祁东县第二中学377班团支书2013.09-2017.06  衡阳师范学院英语1306班团支书2018.09-2020.06  北京外国语大学英语笔译专业研究生小导师"</f>
        <v>2010.09-2013.06  湖南省祁东县第二中学377班团支书2013.09-2017.06  衡阳师范学院英语1306班团支书2018.09-2020.06  北京外国语大学英语笔译专业研究生小导师</v>
      </c>
      <c r="AC16" s="2" t="str">
        <f>"2016.10-2016.12  祁东弘扬实验学校小学英语教师2018.10-2018.12  外研社英语演讲比赛初赛评委2019.04          世界冰球锦标赛甲级B组新闻记者志愿者2020.06-2021.03武汉译国译民教育科技有限公司翻译基础科目讲师2021.06-2021.09 北京学而思科技有限公司"</f>
        <v>2016.10-2016.12  祁东弘扬实验学校小学英语教师2018.10-2018.12  外研社英语演讲比赛初赛评委2019.04          世界冰球锦标赛甲级B组新闻记者志愿者2020.06-2021.03武汉译国译民教育科技有限公司翻译基础科目讲师2021.06-2021.09 北京学而思科技有限公司</v>
      </c>
      <c r="AD16" s="2" t="str">
        <f>"高级中学英语学科教师资格证国家励志奖学金（ 颁奖单位：教育部）&amp;#160;全国翻译资格考试二级笔译 &amp;#160;英语专业英语八级校级三好学生校级优秀干部&amp;#160;"</f>
        <v>高级中学英语学科教师资格证国家励志奖学金（ 颁奖单位：教育部）&amp;#160;全国翻译资格考试二级笔译 &amp;#160;英语专业英语八级校级三好学生校级优秀干部&amp;#160;</v>
      </c>
      <c r="AE16" s="2" t="str">
        <f>""</f>
        <v/>
      </c>
    </row>
    <row r="17" spans="1:31" s="1" customFormat="1" ht="24" customHeight="1">
      <c r="A17" s="2" t="str">
        <f>"10842022051012330883243"</f>
        <v>10842022051012330883243</v>
      </c>
      <c r="B17" s="2" t="s">
        <v>14</v>
      </c>
      <c r="C17" s="2" t="s">
        <v>13</v>
      </c>
      <c r="D17" s="2" t="str">
        <f>"彭媛媛"</f>
        <v>彭媛媛</v>
      </c>
      <c r="E17" s="2" t="str">
        <f t="shared" si="2"/>
        <v>女</v>
      </c>
      <c r="F17" s="2" t="str">
        <f>"430426199810030022"</f>
        <v>430426199810030022</v>
      </c>
      <c r="G17" s="2" t="str">
        <f>"18473489356"</f>
        <v>18473489356</v>
      </c>
      <c r="H17" s="2" t="str">
        <f>"汉族"</f>
        <v>汉族</v>
      </c>
      <c r="I17" s="2" t="str">
        <f>"1998-10-03"</f>
        <v>1998-10-03</v>
      </c>
      <c r="J17" s="2" t="str">
        <f>"共青团员"</f>
        <v>共青团员</v>
      </c>
      <c r="K17" s="2" t="str">
        <f t="shared" si="0"/>
        <v>全日制硕士研究生</v>
      </c>
      <c r="L17" s="2" t="str">
        <f t="shared" si="1"/>
        <v>硕士</v>
      </c>
      <c r="M17" s="2" t="str">
        <f>"湖南科技大学"</f>
        <v>湖南科技大学</v>
      </c>
      <c r="N17" s="2" t="str">
        <f>"学科教学（英语）"</f>
        <v>学科教学（英语）</v>
      </c>
      <c r="O17" s="2" t="str">
        <f>"105341202002000666"</f>
        <v>105341202002000666</v>
      </c>
      <c r="P17" s="2" t="str">
        <f>"1053432020000916"</f>
        <v>1053432020000916</v>
      </c>
      <c r="Q17" s="2" t="str">
        <f>"高中英语教师资格证"</f>
        <v>高中英语教师资格证</v>
      </c>
      <c r="R17" s="2" t="str">
        <f>"15.待业人员"</f>
        <v>15.待业人员</v>
      </c>
      <c r="S17" s="2" t="str">
        <f>"20204300442000282"</f>
        <v>20204300442000282</v>
      </c>
      <c r="T17" s="2" t="str">
        <f>"2020-07-30"</f>
        <v>2020-07-30</v>
      </c>
      <c r="U17" s="2" t="str">
        <f>"湖南省祁东县"</f>
        <v>湖南省祁东县</v>
      </c>
      <c r="V17" s="2" t="str">
        <f>"未婚"</f>
        <v>未婚</v>
      </c>
      <c r="W17" s="2" t="str">
        <f>"湖南省衡阳市祁东县人才交流服务中心"</f>
        <v>湖南省衡阳市祁东县人才交流服务中心</v>
      </c>
      <c r="X17" s="2" t="str">
        <f>"无"</f>
        <v>无</v>
      </c>
      <c r="Y17" s="2" t="str">
        <f>"湖南省衡阳市祁东县湘桂路145号"</f>
        <v>湖南省衡阳市祁东县湘桂路145号</v>
      </c>
      <c r="Z17" s="2" t="str">
        <f>"421600"</f>
        <v>421600</v>
      </c>
      <c r="AA17" s="2" t="str">
        <f>"1430724056@qq.com"</f>
        <v>1430724056@qq.com</v>
      </c>
      <c r="AB17" s="2" t="str">
        <f>"2011.9-2014.6 祁东县二中 学生2014.9-2018.6 衡阳师范学院南岳学院 商务英语专业 学生2018.9-2020.6 湖南科技大学 学科教学（英语） 学生2020.9-2022.8 祁东县云兴湖高级中学 高中英语老师"</f>
        <v>2011.9-2014.6 祁东县二中 学生2014.9-2018.6 衡阳师范学院南岳学院 商务英语专业 学生2018.9-2020.6 湖南科技大学 学科教学（英语） 学生2020.9-2022.8 祁东县云兴湖高级中学 高中英语老师</v>
      </c>
      <c r="AC17" s="2" t="str">
        <f>"辅导九年级学生参加英语能力竞赛获得“湖南省优秀指导老师”荣誉证书；参加祁东县2020年”一师一优课“高中英语赛课获得二等奖；2021年教学能手高中英语组二等奖"</f>
        <v>辅导九年级学生参加英语能力竞赛获得“湖南省优秀指导老师”荣誉证书；参加祁东县2020年”一师一优课“高中英语赛课获得二等奖；2021年教学能手高中英语组二等奖</v>
      </c>
      <c r="AD17" s="2" t="str">
        <f>"硕士研究生且已获得高中英语教师资格证"</f>
        <v>硕士研究生且已获得高中英语教师资格证</v>
      </c>
      <c r="AE17" s="2" t="str">
        <f>""</f>
        <v/>
      </c>
    </row>
    <row r="18" spans="1:31" s="1" customFormat="1" ht="24" customHeight="1">
      <c r="A18" s="2" t="str">
        <f>"10842022051015300683456"</f>
        <v>10842022051015300683456</v>
      </c>
      <c r="B18" s="2" t="s">
        <v>14</v>
      </c>
      <c r="C18" s="2" t="s">
        <v>13</v>
      </c>
      <c r="D18" s="2" t="str">
        <f>"彭思"</f>
        <v>彭思</v>
      </c>
      <c r="E18" s="2" t="str">
        <f t="shared" si="2"/>
        <v>女</v>
      </c>
      <c r="F18" s="2" t="str">
        <f>"430426199808260128"</f>
        <v>430426199808260128</v>
      </c>
      <c r="G18" s="2" t="str">
        <f>"18229235750"</f>
        <v>18229235750</v>
      </c>
      <c r="H18" s="2" t="str">
        <f>"汉族"</f>
        <v>汉族</v>
      </c>
      <c r="I18" s="2" t="str">
        <f>"1998-08-26"</f>
        <v>1998-08-26</v>
      </c>
      <c r="J18" s="2" t="str">
        <f>"党员"</f>
        <v>党员</v>
      </c>
      <c r="K18" s="2" t="str">
        <f t="shared" si="0"/>
        <v>全日制硕士研究生</v>
      </c>
      <c r="L18" s="2" t="str">
        <f t="shared" si="1"/>
        <v>硕士</v>
      </c>
      <c r="M18" s="2" t="str">
        <f>"暨南大学"</f>
        <v>暨南大学</v>
      </c>
      <c r="N18" s="2" t="str">
        <f>"英语笔译"</f>
        <v>英语笔译</v>
      </c>
      <c r="O18" s="2" t="str">
        <f>"应届生暂无"</f>
        <v>应届生暂无</v>
      </c>
      <c r="P18" s="2" t="str">
        <f>"应届生暂无"</f>
        <v>应届生暂无</v>
      </c>
      <c r="Q18" s="2" t="str">
        <f>"无"</f>
        <v>无</v>
      </c>
      <c r="R18" s="2" t="str">
        <f>"15.待业人员"</f>
        <v>15.待业人员</v>
      </c>
      <c r="S18" s="2" t="str">
        <f>"2021434031739"</f>
        <v>2021434031739</v>
      </c>
      <c r="T18" s="2" t="str">
        <f>"2021-05-31"</f>
        <v>2021-05-31</v>
      </c>
      <c r="U18" s="2" t="str">
        <f>"湖南祁东"</f>
        <v>湖南祁东</v>
      </c>
      <c r="V18" s="2" t="str">
        <f>"未婚"</f>
        <v>未婚</v>
      </c>
      <c r="W18" s="2" t="str">
        <f>"暨南大学"</f>
        <v>暨南大学</v>
      </c>
      <c r="X18" s="2" t="str">
        <f>"会一些葫芦丝"</f>
        <v>会一些葫芦丝</v>
      </c>
      <c r="Y18" s="2" t="str">
        <f>"广东省广州市番禺区兴业大道东855号暨南大学南校区"</f>
        <v>广东省广州市番禺区兴业大道东855号暨南大学南校区</v>
      </c>
      <c r="Z18" s="2" t="str">
        <f>"511436"</f>
        <v>511436</v>
      </c>
      <c r="AA18" s="2" t="str">
        <f>"1755969687@qq.com"</f>
        <v>1755969687@qq.com</v>
      </c>
      <c r="AB18" s="2" t="str">
        <f>"2013.9-2016.6 湖南省祁东二中2016.9-2020.6 湖南科技大学2020.9-2022.6 暨南大学"</f>
        <v>2013.9-2016.6 湖南省祁东二中2016.9-2020.6 湖南科技大学2020.9-2022.6 暨南大学</v>
      </c>
      <c r="AC18" s="2" t="str">
        <f>"2021年11月-2022年1月于广州暨大港澳子弟学校实习三个月，担任中学部英语实习老师，每周给英语中级班上课；日常还负责一个高一班级和一个初一班级的英语早读；以及协助外籍教师开展课堂教学；协助教师组织考试以及日常活动，如期中期末考试、校运会、家长会等。"</f>
        <v>2021年11月-2022年1月于广州暨大港澳子弟学校实习三个月，担任中学部英语实习老师，每周给英语中级班上课；日常还负责一个高一班级和一个初一班级的英语早读；以及协助外籍教师开展课堂教学；协助教师组织考试以及日常活动，如期中期末考试、校运会、家长会等。</v>
      </c>
      <c r="AD18" s="2" t="str">
        <f>"本科毕业于湖南科技大学，专业为英语；研究生毕业于暨南大学，专业为英语笔译。"</f>
        <v>本科毕业于湖南科技大学，专业为英语；研究生毕业于暨南大学，专业为英语笔译。</v>
      </c>
      <c r="AE18" s="3" t="s">
        <v>15</v>
      </c>
    </row>
    <row r="19" spans="1:31" s="1" customFormat="1" ht="24" customHeight="1">
      <c r="A19" s="2" t="str">
        <f>"10842022051020035783770"</f>
        <v>10842022051020035783770</v>
      </c>
      <c r="B19" s="2" t="s">
        <v>14</v>
      </c>
      <c r="C19" s="2" t="s">
        <v>13</v>
      </c>
      <c r="D19" s="2" t="str">
        <f>"曾婧婧"</f>
        <v>曾婧婧</v>
      </c>
      <c r="E19" s="2" t="str">
        <f t="shared" si="2"/>
        <v>女</v>
      </c>
      <c r="F19" s="2" t="str">
        <f>"430426199510049485"</f>
        <v>430426199510049485</v>
      </c>
      <c r="G19" s="2" t="str">
        <f>"15386417009"</f>
        <v>15386417009</v>
      </c>
      <c r="H19" s="2" t="str">
        <f t="shared" ref="H19:H25" si="3">"汉"</f>
        <v>汉</v>
      </c>
      <c r="I19" s="2" t="str">
        <f>"1995-10-04"</f>
        <v>1995-10-04</v>
      </c>
      <c r="J19" s="2" t="str">
        <f>"党员"</f>
        <v>党员</v>
      </c>
      <c r="K19" s="2" t="str">
        <f t="shared" si="0"/>
        <v>全日制硕士研究生</v>
      </c>
      <c r="L19" s="2" t="str">
        <f t="shared" si="1"/>
        <v>硕士</v>
      </c>
      <c r="M19" s="2" t="str">
        <f>"中南大学"</f>
        <v>中南大学</v>
      </c>
      <c r="N19" s="2" t="str">
        <f>"学科教学（英语）"</f>
        <v>学科教学（英语）</v>
      </c>
      <c r="O19" s="2" t="str">
        <f>"暂无"</f>
        <v>暂无</v>
      </c>
      <c r="P19" s="2" t="str">
        <f>"暂无"</f>
        <v>暂无</v>
      </c>
      <c r="Q19" s="2" t="str">
        <f>"高中英语教师资格证"</f>
        <v>高中英语教师资格证</v>
      </c>
      <c r="R19" s="2" t="str">
        <f>"15.待业人员"</f>
        <v>15.待业人员</v>
      </c>
      <c r="S19" s="2" t="str">
        <f>"20174300242003792"</f>
        <v>20174300242003792</v>
      </c>
      <c r="T19" s="2" t="str">
        <f>"2017-05-26"</f>
        <v>2017-05-26</v>
      </c>
      <c r="U19" s="2" t="str">
        <f>"湖南衡阳祁东"</f>
        <v>湖南衡阳祁东</v>
      </c>
      <c r="V19" s="2" t="str">
        <f>"未婚"</f>
        <v>未婚</v>
      </c>
      <c r="W19" s="2" t="str">
        <f>"中南大学"</f>
        <v>中南大学</v>
      </c>
      <c r="X19" s="2" t="str">
        <f>"瑜伽、书法等。"</f>
        <v>瑜伽、书法等。</v>
      </c>
      <c r="Y19" s="2" t="str">
        <f>"湖南省衡阳市祁东县洪桥镇曙光路富源小区"</f>
        <v>湖南省衡阳市祁东县洪桥镇曙光路富源小区</v>
      </c>
      <c r="Z19" s="2" t="str">
        <f>"421699"</f>
        <v>421699</v>
      </c>
      <c r="AA19" s="2" t="str">
        <f>"867067548@qq.com"</f>
        <v>867067548@qq.com</v>
      </c>
      <c r="AB19" s="2" t="str">
        <f>"2010.09-2013.08  湖南省衡阳市祁东县第二中学学生2013.09-2017.08  湖南第一师范学院英语专业大学本科学习2017.09-2018.08  湖南省长沙市长郡月亮岛学校工作2018.09-2022.07  中南大学学科教学（英语）专业硕士研究生学习"</f>
        <v>2010.09-2013.08  湖南省衡阳市祁东县第二中学学生2013.09-2017.08  湖南第一师范学院英语专业大学本科学习2017.09-2018.08  湖南省长沙市长郡月亮岛学校工作2018.09-2022.07  中南大学学科教学（英语）专业硕士研究生学习</v>
      </c>
      <c r="AC19" s="2" t="str">
        <f>"2017.09-2018.08  湖南省长沙市长郡月亮岛学校工作"</f>
        <v>2017.09-2018.08  湖南省长沙市长郡月亮岛学校工作</v>
      </c>
      <c r="AD19" s="2" t="str">
        <f>"2022年应届硕士研究生毕业生。"</f>
        <v>2022年应届硕士研究生毕业生。</v>
      </c>
      <c r="AE19" s="2" t="str">
        <f>"2018年度研究生国家学业奖学金一等奖2019年度研究生国家学业奖学金二等奖2020年度研究生国家学业奖学金二等奖"</f>
        <v>2018年度研究生国家学业奖学金一等奖2019年度研究生国家学业奖学金二等奖2020年度研究生国家学业奖学金二等奖</v>
      </c>
    </row>
    <row r="20" spans="1:31" s="1" customFormat="1" ht="24" customHeight="1">
      <c r="A20" s="2" t="str">
        <f>"10842022051111174684219"</f>
        <v>10842022051111174684219</v>
      </c>
      <c r="B20" s="2" t="s">
        <v>14</v>
      </c>
      <c r="C20" s="2" t="s">
        <v>13</v>
      </c>
      <c r="D20" s="2" t="str">
        <f>"宁青云"</f>
        <v>宁青云</v>
      </c>
      <c r="E20" s="2" t="str">
        <f t="shared" si="2"/>
        <v>女</v>
      </c>
      <c r="F20" s="2" t="str">
        <f>"430422198906278866"</f>
        <v>430422198906278866</v>
      </c>
      <c r="G20" s="2" t="str">
        <f>"18692047669"</f>
        <v>18692047669</v>
      </c>
      <c r="H20" s="2" t="str">
        <f t="shared" si="3"/>
        <v>汉</v>
      </c>
      <c r="I20" s="2" t="str">
        <f>"1989-06-27"</f>
        <v>1989-06-27</v>
      </c>
      <c r="J20" s="2" t="str">
        <f>"群众"</f>
        <v>群众</v>
      </c>
      <c r="K20" s="2" t="str">
        <f t="shared" si="0"/>
        <v>全日制硕士研究生</v>
      </c>
      <c r="L20" s="2" t="str">
        <f t="shared" si="1"/>
        <v>硕士</v>
      </c>
      <c r="M20" s="2" t="str">
        <f>"北京师范大学"</f>
        <v>北京师范大学</v>
      </c>
      <c r="N20" s="2" t="str">
        <f>"英语学科教学"</f>
        <v>英语学科教学</v>
      </c>
      <c r="O20" s="2" t="str">
        <f>"100271202102004784"</f>
        <v>100271202102004784</v>
      </c>
      <c r="P20" s="2" t="str">
        <f>"1002732021204784"</f>
        <v>1002732021204784</v>
      </c>
      <c r="Q20" s="2" t="str">
        <f>"高级中学教师资格证"</f>
        <v>高级中学教师资格证</v>
      </c>
      <c r="R20" s="2" t="str">
        <f>"8.其他经济组织社会组织人员(不含工人)"</f>
        <v>8.其他经济组织社会组织人员(不含工人)</v>
      </c>
      <c r="S20" s="2" t="str">
        <f>"20114300542000823"</f>
        <v>20114300542000823</v>
      </c>
      <c r="T20" s="2" t="str">
        <f>"2011-05-20"</f>
        <v>2011-05-20</v>
      </c>
      <c r="U20" s="2" t="str">
        <f>"广东深圳"</f>
        <v>广东深圳</v>
      </c>
      <c r="V20" s="2" t="str">
        <f>"已婚"</f>
        <v>已婚</v>
      </c>
      <c r="W20" s="2" t="str">
        <f>"北京师范大学"</f>
        <v>北京师范大学</v>
      </c>
      <c r="X20" s="2" t="str">
        <f>""</f>
        <v/>
      </c>
      <c r="Y20" s="2" t="str">
        <f>"湖南省衡阳市蒸湘区红湘路裕康巷裕康花园"</f>
        <v>湖南省衡阳市蒸湘区红湘路裕康巷裕康花园</v>
      </c>
      <c r="Z20" s="2" t="str">
        <f>"421121"</f>
        <v>421121</v>
      </c>
      <c r="AA20" s="2" t="str">
        <f>"zoenqy@163.com"</f>
        <v>zoenqy@163.com</v>
      </c>
      <c r="AB20" s="2" t="str">
        <f>"200409-200706    衡南县第一中学      高中200709-201106    衡阳师范学院        大学201107-201612    北京市瑞思学科英语  英语教师201709-201909    衡阳县第三中学      英语教师201909-202107    北京师范大学        研究生202108-202110    衡阳市第二中学      英语教师202201至今	 博文高级中学        英语教师"</f>
        <v>200409-200706    衡南县第一中学      高中200709-201106    衡阳师范学院        大学201107-201612    北京市瑞思学科英语  英语教师201709-201909    衡阳县第三中学      英语教师201909-202107    北京师范大学        研究生202108-202110    衡阳市第二中学      英语教师202201至今	 博文高级中学        英语教师</v>
      </c>
      <c r="AC20" s="2" t="str">
        <f>""</f>
        <v/>
      </c>
      <c r="AD20" s="2" t="str">
        <f>""</f>
        <v/>
      </c>
      <c r="AE20" s="2" t="str">
        <f>""</f>
        <v/>
      </c>
    </row>
    <row r="21" spans="1:31" s="1" customFormat="1" ht="24" customHeight="1">
      <c r="A21" s="2" t="str">
        <f>"10842022051116412284567"</f>
        <v>10842022051116412284567</v>
      </c>
      <c r="B21" s="2" t="s">
        <v>14</v>
      </c>
      <c r="C21" s="2" t="s">
        <v>13</v>
      </c>
      <c r="D21" s="2" t="str">
        <f>"李丹迪"</f>
        <v>李丹迪</v>
      </c>
      <c r="E21" s="2" t="str">
        <f t="shared" si="2"/>
        <v>女</v>
      </c>
      <c r="F21" s="2" t="str">
        <f>"430426199807100501"</f>
        <v>430426199807100501</v>
      </c>
      <c r="G21" s="2" t="str">
        <f>"18973997905"</f>
        <v>18973997905</v>
      </c>
      <c r="H21" s="2" t="str">
        <f t="shared" si="3"/>
        <v>汉</v>
      </c>
      <c r="I21" s="2" t="str">
        <f>"1998-07-10"</f>
        <v>1998-07-10</v>
      </c>
      <c r="J21" s="2" t="str">
        <f>"党员"</f>
        <v>党员</v>
      </c>
      <c r="K21" s="2" t="str">
        <f t="shared" si="0"/>
        <v>全日制硕士研究生</v>
      </c>
      <c r="L21" s="2" t="str">
        <f t="shared" si="1"/>
        <v>硕士</v>
      </c>
      <c r="M21" s="2" t="str">
        <f>"长沙理工大学"</f>
        <v>长沙理工大学</v>
      </c>
      <c r="N21" s="2" t="str">
        <f>"英语笔译"</f>
        <v>英语笔译</v>
      </c>
      <c r="O21" s="2" t="str">
        <f>"应届研究生"</f>
        <v>应届研究生</v>
      </c>
      <c r="P21" s="2" t="str">
        <f>"应届研究生"</f>
        <v>应届研究生</v>
      </c>
      <c r="Q21" s="2" t="str">
        <f>"高级中学教师资格"</f>
        <v>高级中学教师资格</v>
      </c>
      <c r="R21" s="2" t="str">
        <f t="shared" ref="R21:R27" si="4">"15.待业人员"</f>
        <v>15.待业人员</v>
      </c>
      <c r="S21" s="2" t="str">
        <f>"20194300642001584"</f>
        <v>20194300642001584</v>
      </c>
      <c r="T21" s="2" t="str">
        <f>"2019-06-20"</f>
        <v>2019-06-20</v>
      </c>
      <c r="U21" s="2" t="str">
        <f>"湖南祁东"</f>
        <v>湖南祁东</v>
      </c>
      <c r="V21" s="2" t="str">
        <f>"未婚"</f>
        <v>未婚</v>
      </c>
      <c r="W21" s="2" t="str">
        <f>"长沙理工大学"</f>
        <v>长沙理工大学</v>
      </c>
      <c r="X21" s="2" t="str">
        <f>"舞蹈、健身"</f>
        <v>舞蹈、健身</v>
      </c>
      <c r="Y21" s="2" t="str">
        <f>"湖南省衡阳市祁东县四方井二巷二号"</f>
        <v>湖南省衡阳市祁东县四方井二巷二号</v>
      </c>
      <c r="Z21" s="2" t="str">
        <f>"421600"</f>
        <v>421600</v>
      </c>
      <c r="AA21" s="2" t="str">
        <f>"280373655@qq.com"</f>
        <v>280373655@qq.com</v>
      </c>
      <c r="AB21" s="2" t="str">
        <f>"2019/09 - 2022/06，长沙理工大学外国语学院，全日制翻译硕士笔译专业；2015/09 – 2019/06，邵阳学院，全日制英语语言专业。"</f>
        <v>2019/09 - 2022/06，长沙理工大学外国语学院，全日制翻译硕士笔译专业；2015/09 – 2019/06，邵阳学院，全日制英语语言专业。</v>
      </c>
      <c r="AC21" s="2" t="str">
        <f>"2019/09 – 2020/06，沙理工大学外国语学院研究生导师助理，协助教学，搜集整理教学资料；协助科研，收集课题申报材料；2022/02 - 2022/05，51tra翻译公司进行翻译实践，掌握各行业领域的翻译技巧和CAT工具，并翻译各行业领域中等难度文档。"</f>
        <v>2019/09 – 2020/06，沙理工大学外国语学院研究生导师助理，协助教学，搜集整理教学资料；协助科研，收集课题申报材料；2022/02 - 2022/05，51tra翻译公司进行翻译实践，掌握各行业领域的翻译技巧和CAT工具，并翻译各行业领域中等难度文档。</v>
      </c>
      <c r="AD21" s="2" t="str">
        <f>"硕士研究生"</f>
        <v>硕士研究生</v>
      </c>
      <c r="AE21" s="2" t="str">
        <f>"2019-2022学年研究生二等学业奖学金；2019-2020学年校级优秀研究生干部；2019-2022学年文体活动单项奖学金；2020-2021学年五四评优先进个人；翻译工作者协会第二十六次年会优秀志愿者，长沙理工大学迎新优秀志愿者；第二届中国·非洲经贸博览会大使接待志愿者。"</f>
        <v>2019-2022学年研究生二等学业奖学金；2019-2020学年校级优秀研究生干部；2019-2022学年文体活动单项奖学金；2020-2021学年五四评优先进个人；翻译工作者协会第二十六次年会优秀志愿者，长沙理工大学迎新优秀志愿者；第二届中国·非洲经贸博览会大使接待志愿者。</v>
      </c>
    </row>
    <row r="22" spans="1:31" s="1" customFormat="1" ht="24" customHeight="1">
      <c r="A22" s="2" t="str">
        <f>"10842022051116414684568"</f>
        <v>10842022051116414684568</v>
      </c>
      <c r="B22" s="2" t="s">
        <v>14</v>
      </c>
      <c r="C22" s="2" t="s">
        <v>13</v>
      </c>
      <c r="D22" s="2" t="str">
        <f>"邹爱兰"</f>
        <v>邹爱兰</v>
      </c>
      <c r="E22" s="2" t="str">
        <f t="shared" si="2"/>
        <v>女</v>
      </c>
      <c r="F22" s="2" t="str">
        <f>"432503199702047663"</f>
        <v>432503199702047663</v>
      </c>
      <c r="G22" s="2" t="str">
        <f>"15727438928"</f>
        <v>15727438928</v>
      </c>
      <c r="H22" s="2" t="str">
        <f t="shared" si="3"/>
        <v>汉</v>
      </c>
      <c r="I22" s="2" t="str">
        <f>"1997-02-04"</f>
        <v>1997-02-04</v>
      </c>
      <c r="J22" s="2" t="str">
        <f>"党员"</f>
        <v>党员</v>
      </c>
      <c r="K22" s="2" t="str">
        <f t="shared" si="0"/>
        <v>全日制硕士研究生</v>
      </c>
      <c r="L22" s="2" t="str">
        <f t="shared" si="1"/>
        <v>硕士</v>
      </c>
      <c r="M22" s="2" t="str">
        <f>"湘潭大学"</f>
        <v>湘潭大学</v>
      </c>
      <c r="N22" s="2" t="str">
        <f>"英语语言文学"</f>
        <v>英语语言文学</v>
      </c>
      <c r="O22" s="2" t="str">
        <f>"105301202102000962"</f>
        <v>105301202102000962</v>
      </c>
      <c r="P22" s="2" t="str">
        <f>"1053032021100959"</f>
        <v>1053032021100959</v>
      </c>
      <c r="Q22" s="2" t="str">
        <f>"高中英语教师资格证"</f>
        <v>高中英语教师资格证</v>
      </c>
      <c r="R22" s="2" t="str">
        <f t="shared" si="4"/>
        <v>15.待业人员</v>
      </c>
      <c r="S22" s="2" t="str">
        <f>"20184300642000734"</f>
        <v>20184300642000734</v>
      </c>
      <c r="T22" s="2" t="str">
        <f>"2018-04-30"</f>
        <v>2018-04-30</v>
      </c>
      <c r="U22" s="2" t="str">
        <f>"湖南省娄底市涟源市"</f>
        <v>湖南省娄底市涟源市</v>
      </c>
      <c r="V22" s="2" t="str">
        <f>"未婚"</f>
        <v>未婚</v>
      </c>
      <c r="W22" s="2" t="str">
        <f>"湘潭大学"</f>
        <v>湘潭大学</v>
      </c>
      <c r="X22" s="2" t="str">
        <f>"羽毛球"</f>
        <v>羽毛球</v>
      </c>
      <c r="Y22" s="2" t="str">
        <f>"湖南省娄底市涟源市金石镇"</f>
        <v>湖南省娄底市涟源市金石镇</v>
      </c>
      <c r="Z22" s="2" t="str">
        <f>"417100"</f>
        <v>417100</v>
      </c>
      <c r="AA22" s="2" t="str">
        <f>"1073525450@qq.com"</f>
        <v>1073525450@qq.com</v>
      </c>
      <c r="AB22" s="2" t="str">
        <f>"2011-2014年在湖南省涟源市读高中2014-2018年在邵阳学院读本科2018-2021年在湘潭大学读硕士研究生"</f>
        <v>2011-2014年在湖南省涟源市读高中2014-2018年在邵阳学院读本科2018-2021年在湘潭大学读硕士研究生</v>
      </c>
      <c r="AC22" s="2" t="str">
        <f>""</f>
        <v/>
      </c>
      <c r="AD22" s="2" t="str">
        <f>""</f>
        <v/>
      </c>
      <c r="AE22" s="2" t="str">
        <f>""</f>
        <v/>
      </c>
    </row>
    <row r="23" spans="1:31" s="1" customFormat="1" ht="24" customHeight="1">
      <c r="A23" s="2" t="str">
        <f>"10842022051209171585038"</f>
        <v>10842022051209171585038</v>
      </c>
      <c r="B23" s="2" t="s">
        <v>14</v>
      </c>
      <c r="C23" s="2" t="s">
        <v>13</v>
      </c>
      <c r="D23" s="2" t="str">
        <f>"雷娟"</f>
        <v>雷娟</v>
      </c>
      <c r="E23" s="2" t="str">
        <f t="shared" si="2"/>
        <v>女</v>
      </c>
      <c r="F23" s="2" t="str">
        <f>"430482199411078564"</f>
        <v>430482199411078564</v>
      </c>
      <c r="G23" s="2" t="str">
        <f>"18711099357"</f>
        <v>18711099357</v>
      </c>
      <c r="H23" s="2" t="str">
        <f t="shared" si="3"/>
        <v>汉</v>
      </c>
      <c r="I23" s="2" t="str">
        <f>"1994-11-07"</f>
        <v>1994-11-07</v>
      </c>
      <c r="J23" s="2" t="str">
        <f>"共青团员"</f>
        <v>共青团员</v>
      </c>
      <c r="K23" s="2" t="str">
        <f t="shared" si="0"/>
        <v>全日制硕士研究生</v>
      </c>
      <c r="L23" s="2" t="str">
        <f t="shared" si="1"/>
        <v>硕士</v>
      </c>
      <c r="M23" s="2" t="str">
        <f>"长沙理工大学"</f>
        <v>长沙理工大学</v>
      </c>
      <c r="N23" s="2" t="str">
        <f>"外国语言文学"</f>
        <v>外国语言文学</v>
      </c>
      <c r="O23" s="2" t="str">
        <f>"   无    应届毕业生"</f>
        <v xml:space="preserve">   无    应届毕业生</v>
      </c>
      <c r="P23" s="2" t="str">
        <f>"     无         应届毕业生"</f>
        <v xml:space="preserve">     无         应届毕业生</v>
      </c>
      <c r="Q23" s="2" t="str">
        <f>"无"</f>
        <v>无</v>
      </c>
      <c r="R23" s="2" t="str">
        <f t="shared" si="4"/>
        <v>15.待业人员</v>
      </c>
      <c r="S23" s="2" t="str">
        <f>"无"</f>
        <v>无</v>
      </c>
      <c r="T23" s="2" t="str">
        <f>"2022-07-01"</f>
        <v>2022-07-01</v>
      </c>
      <c r="U23" s="2" t="str">
        <f>"湖南常宁"</f>
        <v>湖南常宁</v>
      </c>
      <c r="V23" s="2" t="str">
        <f>"未婚"</f>
        <v>未婚</v>
      </c>
      <c r="W23" s="2" t="str">
        <f>"长沙理工大学"</f>
        <v>长沙理工大学</v>
      </c>
      <c r="X23" s="2" t="str">
        <f>""</f>
        <v/>
      </c>
      <c r="Y23" s="2" t="str">
        <f>"长沙理工大学"</f>
        <v>长沙理工大学</v>
      </c>
      <c r="Z23" s="2" t="str">
        <f>"425000"</f>
        <v>425000</v>
      </c>
      <c r="AA23" s="2" t="str">
        <f>"1670487192@qq.com"</f>
        <v>1670487192@qq.com</v>
      </c>
      <c r="AB23" s="2" t="str">
        <f>"2011.09-2014.06  高中   就读于常宁市第二中学； 2014.09-2018.06  本科   就读于邵阳学院外国语学院英语专业；2019.09-2022.07&amp;#160;  硕士   就读于长沙理工大学外国语学院外国语言文学专业，曾担任校研会学研部和院研会学研部干事以及院研会学研部部长。&amp;#160;&amp;#160;&amp;#160;&amp;#160;&amp;#160;&amp;#160;&amp;#160;&amp;#160;&amp;#160; "</f>
        <v xml:space="preserve">2011.09-2014.06  高中   就读于常宁市第二中学； 2014.09-2018.06  本科   就读于邵阳学院外国语学院英语专业；2019.09-2022.07&amp;#160;  硕士   就读于长沙理工大学外国语学院外国语言文学专业，曾担任校研会学研部和院研会学研部干事以及院研会学研部部长。&amp;#160;&amp;#160;&amp;#160;&amp;#160;&amp;#160;&amp;#160;&amp;#160;&amp;#160;&amp;#160; </v>
      </c>
      <c r="AC23" s="2" t="str">
        <f>"2020.09-2020.11-长沙理工大学继续教育学院任工程应用英语教师，凭借幽默风趣的上课方式及踏实认真的工作态度得到学生和领导的认可。2020.12-2021.01在广州西关外国语学校实习，任高一英语老师兼班主任。"</f>
        <v>2020.09-2020.11-长沙理工大学继续教育学院任工程应用英语教师，凭借幽默风趣的上课方式及踏实认真的工作态度得到学生和领导的认可。2020.12-2021.01在广州西关外国语学校实习，任高一英语老师兼班主任。</v>
      </c>
      <c r="AD23" s="2" t="str">
        <f>"硕士研究生"</f>
        <v>硕士研究生</v>
      </c>
      <c r="AE23" s="2" t="str">
        <f>"长沙理工大学一等学业奖学金证书；长沙理工大学社会管理人才单项奖学金证书；长沙理工大学三等学业奖学金证书；长沙理工大学三等学业奖学金证书；长沙理工大学“优秀学生”荣誉证书；第十五届博力学术论坛优秀志愿者证书；中华口译大赛志愿者证书；通航博览会志愿者证书。"</f>
        <v>长沙理工大学一等学业奖学金证书；长沙理工大学社会管理人才单项奖学金证书；长沙理工大学三等学业奖学金证书；长沙理工大学三等学业奖学金证书；长沙理工大学“优秀学生”荣誉证书；第十五届博力学术论坛优秀志愿者证书；中华口译大赛志愿者证书；通航博览会志愿者证书。</v>
      </c>
    </row>
    <row r="24" spans="1:31" s="1" customFormat="1" ht="24" customHeight="1">
      <c r="A24" s="2" t="str">
        <f>"10842022051211013985172"</f>
        <v>10842022051211013985172</v>
      </c>
      <c r="B24" s="2" t="s">
        <v>14</v>
      </c>
      <c r="C24" s="2" t="s">
        <v>13</v>
      </c>
      <c r="D24" s="2" t="str">
        <f>"伍亚杰"</f>
        <v>伍亚杰</v>
      </c>
      <c r="E24" s="2" t="str">
        <f>"男"</f>
        <v>男</v>
      </c>
      <c r="F24" s="2" t="str">
        <f>"430426199608236617"</f>
        <v>430426199608236617</v>
      </c>
      <c r="G24" s="2" t="str">
        <f>"15570971503"</f>
        <v>15570971503</v>
      </c>
      <c r="H24" s="2" t="str">
        <f t="shared" si="3"/>
        <v>汉</v>
      </c>
      <c r="I24" s="2" t="str">
        <f>"1996-08-23"</f>
        <v>1996-08-23</v>
      </c>
      <c r="J24" s="2" t="str">
        <f>"共青团员"</f>
        <v>共青团员</v>
      </c>
      <c r="K24" s="2" t="str">
        <f t="shared" si="0"/>
        <v>全日制硕士研究生</v>
      </c>
      <c r="L24" s="2" t="str">
        <f t="shared" si="1"/>
        <v>硕士</v>
      </c>
      <c r="M24" s="2" t="str">
        <f>"云南农业大学"</f>
        <v>云南农业大学</v>
      </c>
      <c r="N24" s="2" t="str">
        <f>"英语笔译"</f>
        <v>英语笔译</v>
      </c>
      <c r="O24" s="2" t="str">
        <f>"无"</f>
        <v>无</v>
      </c>
      <c r="P24" s="2" t="str">
        <f>"无"</f>
        <v>无</v>
      </c>
      <c r="Q24" s="2" t="str">
        <f>"无，高中英语教师资格证"</f>
        <v>无，高中英语教师资格证</v>
      </c>
      <c r="R24" s="2" t="str">
        <f t="shared" si="4"/>
        <v>15.待业人员</v>
      </c>
      <c r="S24" s="2" t="str">
        <f>"20204301041000194"</f>
        <v>20204301041000194</v>
      </c>
      <c r="T24" s="2" t="str">
        <f>"2020-7-30"</f>
        <v>2020-7-30</v>
      </c>
      <c r="U24" s="2" t="str">
        <f>"湖南省祁东县"</f>
        <v>湖南省祁东县</v>
      </c>
      <c r="V24" s="2" t="str">
        <f>"未婚"</f>
        <v>未婚</v>
      </c>
      <c r="W24" s="2" t="str">
        <f>"云南农业大学"</f>
        <v>云南农业大学</v>
      </c>
      <c r="X24" s="2" t="str">
        <f>""</f>
        <v/>
      </c>
      <c r="Y24" s="2" t="str">
        <f>"湖南省祁东县石亭子镇"</f>
        <v>湖南省祁东县石亭子镇</v>
      </c>
      <c r="Z24" s="2" t="str">
        <f>"421621"</f>
        <v>421621</v>
      </c>
      <c r="AA24" s="2" t="str">
        <f>"1872810119@qq.com"</f>
        <v>1872810119@qq.com</v>
      </c>
      <c r="AB24" s="2" t="str">
        <f>"201609-202007 湘南学院 本科202009-202207 云南农业大学 硕士"</f>
        <v>201609-202007 湘南学院 本科202009-202207 云南农业大学 硕士</v>
      </c>
      <c r="AC24" s="2" t="str">
        <f>""</f>
        <v/>
      </c>
      <c r="AD24" s="2" t="str">
        <f>""</f>
        <v/>
      </c>
      <c r="AE24" s="2" t="str">
        <f>""</f>
        <v/>
      </c>
    </row>
    <row r="25" spans="1:31" s="1" customFormat="1" ht="24" customHeight="1">
      <c r="A25" s="2" t="str">
        <f>"10842022050813380379208"</f>
        <v>10842022050813380379208</v>
      </c>
      <c r="B25" s="2" t="s">
        <v>11</v>
      </c>
      <c r="C25" s="2" t="s">
        <v>10</v>
      </c>
      <c r="D25" s="2" t="str">
        <f>"王俊"</f>
        <v>王俊</v>
      </c>
      <c r="E25" s="2" t="str">
        <f t="shared" ref="E25:E30" si="5">"女"</f>
        <v>女</v>
      </c>
      <c r="F25" s="2" t="str">
        <f>"500381199601055925"</f>
        <v>500381199601055925</v>
      </c>
      <c r="G25" s="2" t="str">
        <f>"18896022080"</f>
        <v>18896022080</v>
      </c>
      <c r="H25" s="2" t="str">
        <f t="shared" si="3"/>
        <v>汉</v>
      </c>
      <c r="I25" s="2" t="str">
        <f>"1996-01-05"</f>
        <v>1996-01-05</v>
      </c>
      <c r="J25" s="2" t="str">
        <f>"群众"</f>
        <v>群众</v>
      </c>
      <c r="K25" s="2" t="str">
        <f>"非全日制硕士研究生"</f>
        <v>非全日制硕士研究生</v>
      </c>
      <c r="L25" s="2" t="str">
        <f t="shared" si="1"/>
        <v>硕士</v>
      </c>
      <c r="M25" s="2" t="str">
        <f>"湖南科技大学"</f>
        <v>湖南科技大学</v>
      </c>
      <c r="N25" s="2" t="str">
        <f>"学科教学（语文）"</f>
        <v>学科教学（语文）</v>
      </c>
      <c r="O25" s="2" t="str">
        <f>"0"</f>
        <v>0</v>
      </c>
      <c r="P25" s="2" t="str">
        <f>"0"</f>
        <v>0</v>
      </c>
      <c r="Q25" s="2" t="str">
        <f>"高级中学教师资格"</f>
        <v>高级中学教师资格</v>
      </c>
      <c r="R25" s="2" t="str">
        <f t="shared" si="4"/>
        <v>15.待业人员</v>
      </c>
      <c r="S25" s="2" t="str">
        <f>"2018000142020713"</f>
        <v>2018000142020713</v>
      </c>
      <c r="T25" s="2" t="str">
        <f>"2018-06-08"</f>
        <v>2018-06-08</v>
      </c>
      <c r="U25" s="2" t="str">
        <f>"重庆 江津"</f>
        <v>重庆 江津</v>
      </c>
      <c r="V25" s="2" t="str">
        <f>"未婚"</f>
        <v>未婚</v>
      </c>
      <c r="W25" s="2" t="str">
        <f>"重庆市江津就业和人才中心"</f>
        <v>重庆市江津就业和人才中心</v>
      </c>
      <c r="X25" s="2" t="str">
        <f>"与学生交流"</f>
        <v>与学生交流</v>
      </c>
      <c r="Y25" s="2" t="str">
        <f>"湖南省湘潭市 湖南科技大学"</f>
        <v>湖南省湘潭市 湖南科技大学</v>
      </c>
      <c r="Z25" s="2" t="str">
        <f>"411201"</f>
        <v>411201</v>
      </c>
      <c r="AA25" s="2" t="str">
        <f>"1920875375@qq.com"</f>
        <v>1920875375@qq.com</v>
      </c>
      <c r="AB25" s="2" t="str">
        <f>"2010.09—2014.06  重庆市江津区江津第一中学2014.06—2018.06  长江师范学院  汉语言文学（师范）2019.09—2022.06  湖南科技大学  学科教学（语文）"</f>
        <v>2010.09—2014.06  重庆市江津区江津第一中学2014.06—2018.06  长江师范学院  汉语言文学（师范）2019.09—2022.06  湖南科技大学  学科教学（语文）</v>
      </c>
      <c r="AC25" s="2" t="str">
        <f>"2020.08—2021.01  湖南省娄底市第一中学  高一语文教师2021.02—2021.07  湖南省长沙市明达中学  高三语文教师"</f>
        <v>2020.08—2021.01  湖南省娄底市第一中学  高一语文教师2021.02—2021.07  湖南省长沙市明达中学  高三语文教师</v>
      </c>
      <c r="AD25" s="2" t="str">
        <f>""</f>
        <v/>
      </c>
      <c r="AE25" s="2" t="str">
        <f>""</f>
        <v/>
      </c>
    </row>
    <row r="26" spans="1:31" s="1" customFormat="1" ht="24" customHeight="1">
      <c r="A26" s="2" t="str">
        <f>"10842022050921210782707"</f>
        <v>10842022050921210782707</v>
      </c>
      <c r="B26" s="2" t="s">
        <v>11</v>
      </c>
      <c r="C26" s="2" t="s">
        <v>10</v>
      </c>
      <c r="D26" s="2" t="str">
        <f>"王倩"</f>
        <v>王倩</v>
      </c>
      <c r="E26" s="2" t="str">
        <f t="shared" si="5"/>
        <v>女</v>
      </c>
      <c r="F26" s="2" t="str">
        <f>"430426198709188904"</f>
        <v>430426198709188904</v>
      </c>
      <c r="G26" s="2" t="str">
        <f>"13520572123"</f>
        <v>13520572123</v>
      </c>
      <c r="H26" s="2" t="str">
        <f>"汉族"</f>
        <v>汉族</v>
      </c>
      <c r="I26" s="2" t="str">
        <f>"1987-09-18"</f>
        <v>1987-09-18</v>
      </c>
      <c r="J26" s="2" t="str">
        <f>"群众"</f>
        <v>群众</v>
      </c>
      <c r="K26" s="2" t="str">
        <f t="shared" ref="K26:K36" si="6">"全日制硕士研究生"</f>
        <v>全日制硕士研究生</v>
      </c>
      <c r="L26" s="2" t="str">
        <f t="shared" si="1"/>
        <v>硕士</v>
      </c>
      <c r="M26" s="2" t="str">
        <f>"北京语言大学"</f>
        <v>北京语言大学</v>
      </c>
      <c r="N26" s="2" t="str">
        <f>"语言学及应用语言学"</f>
        <v>语言学及应用语言学</v>
      </c>
      <c r="O26" s="2" t="str">
        <f>"100321201702000461"</f>
        <v>100321201702000461</v>
      </c>
      <c r="P26" s="2" t="str">
        <f>"1003232017000060"</f>
        <v>1003232017000060</v>
      </c>
      <c r="Q26" s="2" t="str">
        <f>"高级中学教师资格证（语文）"</f>
        <v>高级中学教师资格证（语文）</v>
      </c>
      <c r="R26" s="2" t="str">
        <f t="shared" si="4"/>
        <v>15.待业人员</v>
      </c>
      <c r="S26" s="2" t="str">
        <f>"20124300542001814"</f>
        <v>20124300542001814</v>
      </c>
      <c r="T26" s="2" t="str">
        <f>"2012-06-06"</f>
        <v>2012-06-06</v>
      </c>
      <c r="U26" s="2" t="str">
        <f>"广东省深圳市南山区"</f>
        <v>广东省深圳市南山区</v>
      </c>
      <c r="V26" s="2" t="str">
        <f>"已婚"</f>
        <v>已婚</v>
      </c>
      <c r="W26" s="2" t="str">
        <f>"深圳市龙华区人才服务中心"</f>
        <v>深圳市龙华区人才服务中心</v>
      </c>
      <c r="X26" s="2" t="str">
        <f>"朗诵、摄影"</f>
        <v>朗诵、摄影</v>
      </c>
      <c r="Y26" s="2" t="str">
        <f>"湖南省衡阳市祁东县洪桥镇商业步行街"</f>
        <v>湖南省衡阳市祁东县洪桥镇商业步行街</v>
      </c>
      <c r="Z26" s="2" t="str">
        <f>"421600"</f>
        <v>421600</v>
      </c>
      <c r="AA26" s="2" t="str">
        <f>"1037854796@qq.com"</f>
        <v>1037854796@qq.com</v>
      </c>
      <c r="AB26" s="2" t="str">
        <f>"学习经历：2008.09—2012.06 衡阳师范学院  汉语言文学专业2014.09—2017.07 北京语言大学  语言学及应用语言学专业工作经历：2012.07— 2014.08 燕园华清（北京）教育科技有限公司  英语助教2017.07—2020.03 湖南西林环保材料有限公司  驻京商务经理2020.04—至今  祁东育贤中学  高中语文教师"</f>
        <v>学习经历：2008.09—2012.06 衡阳师范学院  汉语言文学专业2014.09—2017.07 北京语言大学  语言学及应用语言学专业工作经历：2012.07— 2014.08 燕园华清（北京）教育科技有限公司  英语助教2017.07—2020.03 湖南西林环保材料有限公司  驻京商务经理2020.04—至今  祁东育贤中学  高中语文教师</v>
      </c>
      <c r="AC26" s="2" t="str">
        <f>"2011.10—2011.12  衡阳市第26中学  实习做语文教师及班主任2020.04—至今  祁东育贤中学   高中语文教师"</f>
        <v>2011.10—2011.12  衡阳市第26中学  实习做语文教师及班主任2020.04—至今  祁东育贤中学   高中语文教师</v>
      </c>
      <c r="AD26" s="2" t="str">
        <f>"中国语言文学类全日制硕士研究生"</f>
        <v>中国语言文学类全日制硕士研究生</v>
      </c>
      <c r="AE26" s="2" t="str">
        <f>"略"</f>
        <v>略</v>
      </c>
    </row>
    <row r="27" spans="1:31" s="1" customFormat="1" ht="24" customHeight="1">
      <c r="A27" s="2" t="str">
        <f>"10842022051121364884863"</f>
        <v>10842022051121364884863</v>
      </c>
      <c r="B27" s="2" t="s">
        <v>11</v>
      </c>
      <c r="C27" s="2" t="s">
        <v>10</v>
      </c>
      <c r="D27" s="2" t="str">
        <f>"陈瑶"</f>
        <v>陈瑶</v>
      </c>
      <c r="E27" s="2" t="str">
        <f t="shared" si="5"/>
        <v>女</v>
      </c>
      <c r="F27" s="2" t="str">
        <f>"430426199501060922"</f>
        <v>430426199501060922</v>
      </c>
      <c r="G27" s="2" t="str">
        <f>"17873430791"</f>
        <v>17873430791</v>
      </c>
      <c r="H27" s="2" t="str">
        <f>"汉族"</f>
        <v>汉族</v>
      </c>
      <c r="I27" s="2" t="str">
        <f>"1995-01-06"</f>
        <v>1995-01-06</v>
      </c>
      <c r="J27" s="2" t="str">
        <f>"中共预备党员"</f>
        <v>中共预备党员</v>
      </c>
      <c r="K27" s="2" t="str">
        <f t="shared" si="6"/>
        <v>全日制硕士研究生</v>
      </c>
      <c r="L27" s="2" t="str">
        <f t="shared" si="1"/>
        <v>硕士</v>
      </c>
      <c r="M27" s="2" t="str">
        <f>"衡阳师范学院"</f>
        <v>衡阳师范学院</v>
      </c>
      <c r="N27" s="2" t="str">
        <f>"学科教学（语文）"</f>
        <v>学科教学（语文）</v>
      </c>
      <c r="O27" s="2" t="str">
        <f>"105461202102000013"</f>
        <v>105461202102000013</v>
      </c>
      <c r="P27" s="2" t="str">
        <f>"1054632021000013"</f>
        <v>1054632021000013</v>
      </c>
      <c r="Q27" s="2" t="str">
        <f>"高中语文教师资格证（认定中）"</f>
        <v>高中语文教师资格证（认定中）</v>
      </c>
      <c r="R27" s="2" t="str">
        <f t="shared" si="4"/>
        <v>15.待业人员</v>
      </c>
      <c r="S27" s="2" t="str">
        <f>"202110546243400689"</f>
        <v>202110546243400689</v>
      </c>
      <c r="T27" s="2" t="str">
        <f>"2022-07-31前"</f>
        <v>2022-07-31前</v>
      </c>
      <c r="U27" s="2" t="str">
        <f>"湖南省衡阳市祁东县"</f>
        <v>湖南省衡阳市祁东县</v>
      </c>
      <c r="V27" s="2" t="str">
        <f t="shared" ref="V27:V33" si="7">"未婚"</f>
        <v>未婚</v>
      </c>
      <c r="W27" s="2" t="str">
        <f>"衡阳市毕业研究生大中专毕业生就业管理服务中心"</f>
        <v>衡阳市毕业研究生大中专毕业生就业管理服务中心</v>
      </c>
      <c r="X27" s="2" t="str">
        <f>"无"</f>
        <v>无</v>
      </c>
      <c r="Y27" s="2" t="str">
        <f>"湖南省衡阳市祁东县洪桥镇迎宾路173号"</f>
        <v>湖南省衡阳市祁东县洪桥镇迎宾路173号</v>
      </c>
      <c r="Z27" s="2" t="str">
        <f>"421600"</f>
        <v>421600</v>
      </c>
      <c r="AA27" s="2" t="str">
        <f>"1526821495@qq.com"</f>
        <v>1526821495@qq.com</v>
      </c>
      <c r="AB27" s="2" t="str">
        <f>"1.本科---衡阳师范学院（本科实习：衡阳第二中学，于高二年级创新班实习一个学期）2.硕士---衡阳师范学院（硕士实习：郴州市资兴市立中学，于高一年级创新班实习一个学期）"</f>
        <v>1.本科---衡阳师范学院（本科实习：衡阳第二中学，于高二年级创新班实习一个学期）2.硕士---衡阳师范学院（硕士实习：郴州市资兴市立中学，于高一年级创新班实习一个学期）</v>
      </c>
      <c r="AC27" s="2" t="str">
        <f>"1.本科实习：衡阳第二中学，于高二年级创新班实习一个学期。2.硕士实习：郴州市资兴市立中学，于高一年级创新班实习一个学期。"</f>
        <v>1.本科实习：衡阳第二中学，于高二年级创新班实习一个学期。2.硕士实习：郴州市资兴市立中学，于高一年级创新班实习一个学期。</v>
      </c>
      <c r="AD27" s="2" t="str">
        <f>"1.符合最低学历为研究生，最低学位为硕士的岗位条件。2.专业为学科教学（语文），符合中国语言文学类的专业要求。3.已获得普通话二级甲等证书。4.因本人学制为2.5年，于2022年12月正常毕业，而教师资格证认定要求在取得毕业证之后，因此本人目前只有师范生职业能力证书，教师资格证已经在认定中并于2022年7月31日前取得教师资格证原件。"</f>
        <v>1.符合最低学历为研究生，最低学位为硕士的岗位条件。2.专业为学科教学（语文），符合中国语言文学类的专业要求。3.已获得普通话二级甲等证书。4.因本人学制为2.5年，于2022年12月正常毕业，而教师资格证认定要求在取得毕业证之后，因此本人目前只有师范生职业能力证书，教师资格证已经在认定中并于2022年7月31日前取得教师资格证原件。</v>
      </c>
      <c r="AE27" s="3" t="s">
        <v>12</v>
      </c>
    </row>
    <row r="28" spans="1:31" s="1" customFormat="1" ht="24" customHeight="1">
      <c r="A28" s="2" t="str">
        <f>"10842022051216411385620"</f>
        <v>10842022051216411385620</v>
      </c>
      <c r="B28" s="2" t="s">
        <v>11</v>
      </c>
      <c r="C28" s="2" t="s">
        <v>10</v>
      </c>
      <c r="D28" s="2" t="str">
        <f>"周亚玲"</f>
        <v>周亚玲</v>
      </c>
      <c r="E28" s="2" t="str">
        <f t="shared" si="5"/>
        <v>女</v>
      </c>
      <c r="F28" s="2" t="str">
        <f>"430426199503250527"</f>
        <v>430426199503250527</v>
      </c>
      <c r="G28" s="2" t="str">
        <f>"15675470825"</f>
        <v>15675470825</v>
      </c>
      <c r="H28" s="2" t="str">
        <f>"汉"</f>
        <v>汉</v>
      </c>
      <c r="I28" s="2" t="str">
        <f>"1995-03-25"</f>
        <v>1995-03-25</v>
      </c>
      <c r="J28" s="2" t="str">
        <f>"共青团员"</f>
        <v>共青团员</v>
      </c>
      <c r="K28" s="2" t="str">
        <f t="shared" si="6"/>
        <v>全日制硕士研究生</v>
      </c>
      <c r="L28" s="2" t="str">
        <f t="shared" si="1"/>
        <v>硕士</v>
      </c>
      <c r="M28" s="2" t="str">
        <f>"湖南师范大学"</f>
        <v>湖南师范大学</v>
      </c>
      <c r="N28" s="2" t="str">
        <f>"汉语言文字学"</f>
        <v>汉语言文字学</v>
      </c>
      <c r="O28" s="2" t="str">
        <f>"105421202002000311"</f>
        <v>105421202002000311</v>
      </c>
      <c r="P28" s="2" t="str">
        <f>"10542320100292"</f>
        <v>10542320100292</v>
      </c>
      <c r="Q28" s="2" t="str">
        <f>"高中语文教师资格证"</f>
        <v>高中语文教师资格证</v>
      </c>
      <c r="R28" s="2" t="str">
        <f>"9.其他经济组织社会组织工人"</f>
        <v>9.其他经济组织社会组织工人</v>
      </c>
      <c r="S28" s="2" t="str">
        <f>"20194300242006412"</f>
        <v>20194300242006412</v>
      </c>
      <c r="T28" s="2" t="str">
        <f>"2019-11-14"</f>
        <v>2019-11-14</v>
      </c>
      <c r="U28" s="2" t="str">
        <f>"湖南省衡阳市祁东县"</f>
        <v>湖南省衡阳市祁东县</v>
      </c>
      <c r="V28" s="2" t="str">
        <f t="shared" si="7"/>
        <v>未婚</v>
      </c>
      <c r="W28" s="2" t="str">
        <f>"永州市零陵区教育局"</f>
        <v>永州市零陵区教育局</v>
      </c>
      <c r="X28" s="2" t="str">
        <f>""</f>
        <v/>
      </c>
      <c r="Y28" s="2" t="str">
        <f>"湖南省衡阳市祁东县民祥路与曙光路交汇处"</f>
        <v>湖南省衡阳市祁东县民祥路与曙光路交汇处</v>
      </c>
      <c r="Z28" s="2" t="str">
        <f>"421600"</f>
        <v>421600</v>
      </c>
      <c r="AA28" s="2" t="str">
        <f>"1045626907@qq.com"</f>
        <v>1045626907@qq.com</v>
      </c>
      <c r="AB28" s="2" t="str">
        <f>"2008.9-2011.6 祁东县第一中学2011.9-2015.6 吉林省延边大学教育技术学专业2017.9-2020.6 湖南师范大学汉语言文字学专业"</f>
        <v>2008.9-2011.6 祁东县第一中学2011.9-2015.6 吉林省延边大学教育技术学专业2017.9-2020.6 湖南师范大学汉语言文字学专业</v>
      </c>
      <c r="AC28" s="2" t="str">
        <f>""</f>
        <v/>
      </c>
      <c r="AD28" s="2" t="str">
        <f>""</f>
        <v/>
      </c>
      <c r="AE28" s="2" t="str">
        <f>""</f>
        <v/>
      </c>
    </row>
    <row r="29" spans="1:31" s="1" customFormat="1" ht="24" customHeight="1">
      <c r="A29" s="2" t="str">
        <f>"10842022051210414485142"</f>
        <v>10842022051210414485142</v>
      </c>
      <c r="B29" s="2" t="s">
        <v>7</v>
      </c>
      <c r="C29" s="2" t="s">
        <v>9</v>
      </c>
      <c r="D29" s="2" t="str">
        <f>"兰婷"</f>
        <v>兰婷</v>
      </c>
      <c r="E29" s="2" t="str">
        <f t="shared" si="5"/>
        <v>女</v>
      </c>
      <c r="F29" s="2" t="str">
        <f>"430424199603225422"</f>
        <v>430424199603225422</v>
      </c>
      <c r="G29" s="2" t="str">
        <f>"17347012464"</f>
        <v>17347012464</v>
      </c>
      <c r="H29" s="2" t="str">
        <f>"汉族"</f>
        <v>汉族</v>
      </c>
      <c r="I29" s="2" t="str">
        <f>"1996-03-22"</f>
        <v>1996-03-22</v>
      </c>
      <c r="J29" s="2" t="str">
        <f>"共青团员"</f>
        <v>共青团员</v>
      </c>
      <c r="K29" s="2" t="str">
        <f t="shared" si="6"/>
        <v>全日制硕士研究生</v>
      </c>
      <c r="L29" s="2" t="str">
        <f t="shared" si="1"/>
        <v>硕士</v>
      </c>
      <c r="M29" s="2" t="str">
        <f>"青海师范大学"</f>
        <v>青海师范大学</v>
      </c>
      <c r="N29" s="2" t="str">
        <f>"学科教学（物理）"</f>
        <v>学科教学（物理）</v>
      </c>
      <c r="O29" s="2" t="str">
        <f>"应届生"</f>
        <v>应届生</v>
      </c>
      <c r="P29" s="2" t="str">
        <f>"应届生"</f>
        <v>应届生</v>
      </c>
      <c r="Q29" s="2" t="str">
        <f>"高中物理教师资格证"</f>
        <v>高中物理教师资格证</v>
      </c>
      <c r="R29" s="2" t="str">
        <f>"15.待业人员"</f>
        <v>15.待业人员</v>
      </c>
      <c r="S29" s="2" t="str">
        <f>"20216310042001095"</f>
        <v>20216310042001095</v>
      </c>
      <c r="T29" s="2" t="str">
        <f>"2021-07-21"</f>
        <v>2021-07-21</v>
      </c>
      <c r="U29" s="2" t="str">
        <f>"湖南衡阳"</f>
        <v>湖南衡阳</v>
      </c>
      <c r="V29" s="2" t="str">
        <f t="shared" si="7"/>
        <v>未婚</v>
      </c>
      <c r="W29" s="2" t="str">
        <f>"青海师范大学研究生院"</f>
        <v>青海师范大学研究生院</v>
      </c>
      <c r="X29" s="2" t="str">
        <f>"古典舞古筝"</f>
        <v>古典舞古筝</v>
      </c>
      <c r="Y29" s="2" t="str">
        <f>"湖南省衡阳市蒸湘区冠都现代城A2区3单元18楼"</f>
        <v>湖南省衡阳市蒸湘区冠都现代城A2区3单元18楼</v>
      </c>
      <c r="Z29" s="2" t="str">
        <f>"421000"</f>
        <v>421000</v>
      </c>
      <c r="AA29" s="2" t="str">
        <f>"1102389442@qq.com"</f>
        <v>1102389442@qq.com</v>
      </c>
      <c r="AB29" s="2" t="str">
        <f>"2011.09-2014.06在衡东县第二中学读高中2015.09-2016.06在衡东进修学校复读2016.09-2020.06在衡阳师范学院读大学2020.09-2022.09在青海师范大学读硕士"</f>
        <v>2011.09-2014.06在衡东县第二中学读高中2015.09-2016.06在衡东进修学校复读2016.09-2020.06在衡阳师范学院读大学2020.09-2022.09在青海师范大学读硕士</v>
      </c>
      <c r="AC29" s="2" t="str">
        <f>"2020年2月至2020年7月在衡东县楚天中学担任初中物理教师2021年9月至2022年1月在青海师范大学附属实验中学担任高中物理实习教师"</f>
        <v>2020年2月至2020年7月在衡东县楚天中学担任初中物理教师2021年9月至2022年1月在青海师范大学附属实验中学担任高中物理实习教师</v>
      </c>
      <c r="AD29" s="2" t="str">
        <f>"已取得高中物理教师资格证和普通话二甲证书"</f>
        <v>已取得高中物理教师资格证和普通话二甲证书</v>
      </c>
      <c r="AE29" s="2" t="str">
        <f>"优秀共青团员学业二等奖学金学业三等奖学金英语四级国家二级计算机证书"</f>
        <v>优秀共青团员学业二等奖学金学业三等奖学金英语四级国家二级计算机证书</v>
      </c>
    </row>
    <row r="30" spans="1:31" s="1" customFormat="1" ht="24" customHeight="1">
      <c r="A30" s="2" t="str">
        <f>"10842022050909060180734"</f>
        <v>10842022050909060180734</v>
      </c>
      <c r="B30" s="2" t="s">
        <v>7</v>
      </c>
      <c r="C30" s="2" t="s">
        <v>6</v>
      </c>
      <c r="D30" s="2" t="str">
        <f>"贺慧婷"</f>
        <v>贺慧婷</v>
      </c>
      <c r="E30" s="2" t="str">
        <f t="shared" si="5"/>
        <v>女</v>
      </c>
      <c r="F30" s="2" t="str">
        <f>"430408199811241523"</f>
        <v>430408199811241523</v>
      </c>
      <c r="G30" s="2" t="str">
        <f>"18169447783"</f>
        <v>18169447783</v>
      </c>
      <c r="H30" s="2" t="str">
        <f>"汉"</f>
        <v>汉</v>
      </c>
      <c r="I30" s="2" t="str">
        <f>"1998-11-24"</f>
        <v>1998-11-24</v>
      </c>
      <c r="J30" s="2" t="str">
        <f>"共青团员"</f>
        <v>共青团员</v>
      </c>
      <c r="K30" s="2" t="str">
        <f t="shared" si="6"/>
        <v>全日制硕士研究生</v>
      </c>
      <c r="L30" s="2" t="str">
        <f t="shared" si="1"/>
        <v>硕士</v>
      </c>
      <c r="M30" s="2" t="str">
        <f>"湖南师范大学"</f>
        <v>湖南师范大学</v>
      </c>
      <c r="N30" s="2" t="str">
        <f>"化学"</f>
        <v>化学</v>
      </c>
      <c r="O30" s="2" t="str">
        <f>"未发"</f>
        <v>未发</v>
      </c>
      <c r="P30" s="2" t="str">
        <f>"未发"</f>
        <v>未发</v>
      </c>
      <c r="Q30" s="2" t="str">
        <f>"高中教师资格证"</f>
        <v>高中教师资格证</v>
      </c>
      <c r="R30" s="2" t="str">
        <f>"15.待业人员"</f>
        <v>15.待业人员</v>
      </c>
      <c r="S30" s="2" t="str">
        <f>"20194300442002007"</f>
        <v>20194300442002007</v>
      </c>
      <c r="T30" s="2" t="str">
        <f>"2019-06-06"</f>
        <v>2019-06-06</v>
      </c>
      <c r="U30" s="2" t="str">
        <f>"湖南省衡阳市"</f>
        <v>湖南省衡阳市</v>
      </c>
      <c r="V30" s="2" t="str">
        <f t="shared" si="7"/>
        <v>未婚</v>
      </c>
      <c r="W30" s="2" t="str">
        <f>"湖南师范大学"</f>
        <v>湖南师范大学</v>
      </c>
      <c r="X30" s="2" t="str">
        <f>""</f>
        <v/>
      </c>
      <c r="Y30" s="2" t="str">
        <f>"湖南省长沙市岳麓区湖南师范大学"</f>
        <v>湖南省长沙市岳麓区湖南师范大学</v>
      </c>
      <c r="Z30" s="2" t="str">
        <f>"410000"</f>
        <v>410000</v>
      </c>
      <c r="AA30" s="2" t="str">
        <f>"hht001124@126.com"</f>
        <v>hht001124@126.com</v>
      </c>
      <c r="AB30" s="2" t="str">
        <f>"2012.9-2015.6 祁东育贤中学 高中2015.9-2019.6 湖南科技大学 大学2019.9-2022.6 湖南师范大学 大学"</f>
        <v>2012.9-2015.6 祁东育贤中学 高中2015.9-2019.6 湖南科技大学 大学2019.9-2022.6 湖南师范大学 大学</v>
      </c>
      <c r="AC30" s="2" t="str">
        <f>""</f>
        <v/>
      </c>
      <c r="AD30" s="2" t="str">
        <f>""</f>
        <v/>
      </c>
      <c r="AE30" s="2" t="str">
        <f>""</f>
        <v/>
      </c>
    </row>
    <row r="31" spans="1:31" s="1" customFormat="1" ht="24" customHeight="1">
      <c r="A31" s="2" t="str">
        <f>"10842022050915061981902"</f>
        <v>10842022050915061981902</v>
      </c>
      <c r="B31" s="2" t="s">
        <v>7</v>
      </c>
      <c r="C31" s="2" t="s">
        <v>6</v>
      </c>
      <c r="D31" s="2" t="str">
        <f>"李本超"</f>
        <v>李本超</v>
      </c>
      <c r="E31" s="2" t="str">
        <f>"男"</f>
        <v>男</v>
      </c>
      <c r="F31" s="2" t="str">
        <f>"430422199402152674"</f>
        <v>430422199402152674</v>
      </c>
      <c r="G31" s="2" t="str">
        <f>"18073417578"</f>
        <v>18073417578</v>
      </c>
      <c r="H31" s="2" t="str">
        <f>"汉族"</f>
        <v>汉族</v>
      </c>
      <c r="I31" s="2" t="str">
        <f>"1994-02-15"</f>
        <v>1994-02-15</v>
      </c>
      <c r="J31" s="2" t="str">
        <f>"中共预备党员"</f>
        <v>中共预备党员</v>
      </c>
      <c r="K31" s="2" t="str">
        <f t="shared" si="6"/>
        <v>全日制硕士研究生</v>
      </c>
      <c r="L31" s="2" t="str">
        <f t="shared" si="1"/>
        <v>硕士</v>
      </c>
      <c r="M31" s="2" t="str">
        <f>"广西师范大学"</f>
        <v>广西师范大学</v>
      </c>
      <c r="N31" s="2" t="str">
        <f>"化学"</f>
        <v>化学</v>
      </c>
      <c r="O31" s="2" t="str">
        <f>"105461201905557069"</f>
        <v>105461201905557069</v>
      </c>
      <c r="P31" s="2" t="str">
        <f>"1054642019547872"</f>
        <v>1054642019547872</v>
      </c>
      <c r="Q31" s="2" t="str">
        <f>"高级中学教师资格证（化学）"</f>
        <v>高级中学教师资格证（化学）</v>
      </c>
      <c r="R31" s="2" t="str">
        <f>"15.待业人员"</f>
        <v>15.待业人员</v>
      </c>
      <c r="S31" s="2" t="str">
        <f>"20194300541002188"</f>
        <v>20194300541002188</v>
      </c>
      <c r="T31" s="2" t="str">
        <f>"2019-06-12"</f>
        <v>2019-06-12</v>
      </c>
      <c r="U31" s="2" t="str">
        <f>"湖南省衡南县柞市镇"</f>
        <v>湖南省衡南县柞市镇</v>
      </c>
      <c r="V31" s="2" t="str">
        <f t="shared" si="7"/>
        <v>未婚</v>
      </c>
      <c r="W31" s="2" t="str">
        <f>"广西壮族自治区桂林市七星区育才路15号广西师范大学育才校区"</f>
        <v>广西壮族自治区桂林市七星区育才路15号广西师范大学育才校区</v>
      </c>
      <c r="X31" s="2" t="str">
        <f>"看书，钓鱼"</f>
        <v>看书，钓鱼</v>
      </c>
      <c r="Y31" s="2" t="str">
        <f>"广西壮族自治区桂林市七星区育才路15号广西师范大学育才校区"</f>
        <v>广西壮族自治区桂林市七星区育才路15号广西师范大学育才校区</v>
      </c>
      <c r="Z31" s="2" t="str">
        <f>"541000"</f>
        <v>541000</v>
      </c>
      <c r="AA31" s="2" t="str">
        <f>"li_ben_chao@163.com"</f>
        <v>li_ben_chao@163.com</v>
      </c>
      <c r="AB31" s="2" t="str">
        <f>"2012.9--2015.7     祁东县第一中学2015.9--2019.7     衡阳师范学院       化学专业学习2019.9--2022.7     广西师范大学       化学专业学习"</f>
        <v>2012.9--2015.7     祁东县第一中学2015.9--2019.7     衡阳师范学院       化学专业学习2019.9--2022.7     广西师范大学       化学专业学习</v>
      </c>
      <c r="AC31" s="3" t="s">
        <v>8</v>
      </c>
      <c r="AD31" s="2" t="str">
        <f>"高级中学教师资格证（化学）普通话二级乙等"</f>
        <v>高级中学教师资格证（化学）普通话二级乙等</v>
      </c>
      <c r="AE31" s="2" t="str">
        <f>""</f>
        <v/>
      </c>
    </row>
    <row r="32" spans="1:31" s="1" customFormat="1" ht="24" customHeight="1">
      <c r="A32" s="2" t="str">
        <f>"10842022050920441082635"</f>
        <v>10842022050920441082635</v>
      </c>
      <c r="B32" s="2" t="s">
        <v>7</v>
      </c>
      <c r="C32" s="2" t="s">
        <v>6</v>
      </c>
      <c r="D32" s="2" t="str">
        <f>"彭卓金"</f>
        <v>彭卓金</v>
      </c>
      <c r="E32" s="2" t="str">
        <f>"女"</f>
        <v>女</v>
      </c>
      <c r="F32" s="2" t="str">
        <f>"430426199710304364"</f>
        <v>430426199710304364</v>
      </c>
      <c r="G32" s="2" t="str">
        <f>"15560195565"</f>
        <v>15560195565</v>
      </c>
      <c r="H32" s="2" t="str">
        <f>"汉族"</f>
        <v>汉族</v>
      </c>
      <c r="I32" s="2" t="str">
        <f>"1997-10-30"</f>
        <v>1997-10-30</v>
      </c>
      <c r="J32" s="2" t="str">
        <f>"党员"</f>
        <v>党员</v>
      </c>
      <c r="K32" s="2" t="str">
        <f t="shared" si="6"/>
        <v>全日制硕士研究生</v>
      </c>
      <c r="L32" s="2" t="str">
        <f t="shared" si="1"/>
        <v>硕士</v>
      </c>
      <c r="M32" s="2" t="str">
        <f>"湖南师范大学"</f>
        <v>湖南师范大学</v>
      </c>
      <c r="N32" s="2" t="str">
        <f>"学科教学（化学）"</f>
        <v>学科教学（化学）</v>
      </c>
      <c r="O32" s="2" t="str">
        <f>"无"</f>
        <v>无</v>
      </c>
      <c r="P32" s="2" t="str">
        <f>"无"</f>
        <v>无</v>
      </c>
      <c r="Q32" s="2" t="str">
        <f>"高级中学化学教师资格证"</f>
        <v>高级中学化学教师资格证</v>
      </c>
      <c r="R32" s="2" t="str">
        <f>"15.待业人员"</f>
        <v>15.待业人员</v>
      </c>
      <c r="S32" s="2" t="str">
        <f>"20204300542000168"</f>
        <v>20204300542000168</v>
      </c>
      <c r="T32" s="2" t="str">
        <f>"2020-07-03"</f>
        <v>2020-07-03</v>
      </c>
      <c r="U32" s="2" t="str">
        <f>"湖南祁东"</f>
        <v>湖南祁东</v>
      </c>
      <c r="V32" s="2" t="str">
        <f t="shared" si="7"/>
        <v>未婚</v>
      </c>
      <c r="W32" s="2" t="str">
        <f>"湖南师范大学化学化工学院"</f>
        <v>湖南师范大学化学化工学院</v>
      </c>
      <c r="X32" s="2" t="str">
        <f>"武术、篮球、羽毛球、跑步"</f>
        <v>武术、篮球、羽毛球、跑步</v>
      </c>
      <c r="Y32" s="2" t="str">
        <f>"湖南省祁东县永昌街道双星小区"</f>
        <v>湖南省祁东县永昌街道双星小区</v>
      </c>
      <c r="Z32" s="2" t="str">
        <f>"421600"</f>
        <v>421600</v>
      </c>
      <c r="AA32" s="2" t="str">
        <f>"2608289509@qq.com"</f>
        <v>2608289509@qq.com</v>
      </c>
      <c r="AB32" s="2" t="str">
        <f>"学习简历：2012.09-2015.08 湖南省祁东县育贤中学学生2015.09-2016.08 湖南省祁东县鼎兴补习学校学生2016.09-2020.08 河南师范大学化学（师范）本科学习2020.09-2022.08 湖南师范大学学科教学（化学）硕士研究生学习工作简历：2017.09-2020.08 河南师范大学化学化工院 化学四班团支书2020.09-2021.07 湖南省绥宁县第一中学担任化学教师及班主任"</f>
        <v>学习简历：2012.09-2015.08 湖南省祁东县育贤中学学生2015.09-2016.08 湖南省祁东县鼎兴补习学校学生2016.09-2020.08 河南师范大学化学（师范）本科学习2020.09-2022.08 湖南师范大学学科教学（化学）硕士研究生学习工作简历：2017.09-2020.08 河南师范大学化学化工院 化学四班团支书2020.09-2021.07 湖南省绥宁县第一中学担任化学教师及班主任</v>
      </c>
      <c r="AC32" s="2" t="str">
        <f>"2020.09-2021.07 &amp;#160;湖南省绥宁县第一中学担任初三及高一化学教师及班主任2022.03-2022.06 湖南省长沙市师大附属思沁中学担任高一化学教师"</f>
        <v>2020.09-2021.07 &amp;#160;湖南省绥宁县第一中学担任初三及高一化学教师及班主任2022.03-2022.06 湖南省长沙市师大附属思沁中学担任高一化学教师</v>
      </c>
      <c r="AD32" s="2" t="str">
        <f>"硕士研究生"</f>
        <v>硕士研究生</v>
      </c>
      <c r="AE32" s="2" t="str">
        <f>"硕士：连续两年获校三等学业奖学金，在绥宁一中顶岗实习期间两学期获评优秀班主任及优秀支教教师。本科：连续三年获评校三好学生标兵、优秀团员；校优秀团干、校模范学生干部等；“花之语”教学技能大赛三等奖、校演讲比赛二等奖、迎新篮球赛女篮冠军、优秀毕业生等"</f>
        <v>硕士：连续两年获校三等学业奖学金，在绥宁一中顶岗实习期间两学期获评优秀班主任及优秀支教教师。本科：连续三年获评校三好学生标兵、优秀团员；校优秀团干、校模范学生干部等；“花之语”教学技能大赛三等奖、校演讲比赛二等奖、迎新篮球赛女篮冠军、优秀毕业生等</v>
      </c>
    </row>
    <row r="33" spans="1:31" s="1" customFormat="1" ht="24" customHeight="1">
      <c r="A33" s="2" t="str">
        <f>"10842022050921190182698"</f>
        <v>10842022050921190182698</v>
      </c>
      <c r="B33" s="2" t="s">
        <v>7</v>
      </c>
      <c r="C33" s="2" t="s">
        <v>6</v>
      </c>
      <c r="D33" s="2" t="str">
        <f>"周必景"</f>
        <v>周必景</v>
      </c>
      <c r="E33" s="2" t="str">
        <f>"女"</f>
        <v>女</v>
      </c>
      <c r="F33" s="2" t="str">
        <f>"431126199302015023"</f>
        <v>431126199302015023</v>
      </c>
      <c r="G33" s="2" t="str">
        <f>"18974675332"</f>
        <v>18974675332</v>
      </c>
      <c r="H33" s="2" t="str">
        <f>"汉族"</f>
        <v>汉族</v>
      </c>
      <c r="I33" s="2" t="str">
        <f>"1993-02-01"</f>
        <v>1993-02-01</v>
      </c>
      <c r="J33" s="2" t="str">
        <f>"党员"</f>
        <v>党员</v>
      </c>
      <c r="K33" s="2" t="str">
        <f t="shared" si="6"/>
        <v>全日制硕士研究生</v>
      </c>
      <c r="L33" s="2" t="str">
        <f t="shared" si="1"/>
        <v>硕士</v>
      </c>
      <c r="M33" s="2" t="str">
        <f>"湖南农业大学"</f>
        <v>湖南农业大学</v>
      </c>
      <c r="N33" s="2" t="str">
        <f>"化学工程专业"</f>
        <v>化学工程专业</v>
      </c>
      <c r="O33" s="2" t="str">
        <f>"105371201902009373"</f>
        <v>105371201902009373</v>
      </c>
      <c r="P33" s="2" t="str">
        <f>"1053732019040150"</f>
        <v>1053732019040150</v>
      </c>
      <c r="Q33" s="2" t="str">
        <f>"无"</f>
        <v>无</v>
      </c>
      <c r="R33" s="2" t="str">
        <f>"4.事业单位职员(不含工人)"</f>
        <v>4.事业单位职员(不含工人)</v>
      </c>
      <c r="S33" s="2" t="str">
        <f>"20194301442001125"</f>
        <v>20194301442001125</v>
      </c>
      <c r="T33" s="2" t="str">
        <f>"2019-12-13"</f>
        <v>2019-12-13</v>
      </c>
      <c r="U33" s="2" t="str">
        <f>"湖南宁远"</f>
        <v>湖南宁远</v>
      </c>
      <c r="V33" s="2" t="str">
        <f t="shared" si="7"/>
        <v>未婚</v>
      </c>
      <c r="W33" s="2" t="str">
        <f>"嘉禾县第六中学"</f>
        <v>嘉禾县第六中学</v>
      </c>
      <c r="X33" s="2" t="str">
        <f>""</f>
        <v/>
      </c>
      <c r="Y33" s="2" t="str">
        <f>"永州市宁远县禾亭镇周家村"</f>
        <v>永州市宁远县禾亭镇周家村</v>
      </c>
      <c r="Z33" s="2" t="str">
        <f>"425600"</f>
        <v>425600</v>
      </c>
      <c r="AA33" s="2" t="str">
        <f>"1046430814@qq.com"</f>
        <v>1046430814@qq.com</v>
      </c>
      <c r="AB33" s="2" t="str">
        <f>"2013.09-2017.06 临沂大学2017.09-2019.06 湖南农业大学2019.07-2021.05 彩虹集团（邵阳)特种玻璃有限公司"</f>
        <v>2013.09-2017.06 临沂大学2017.09-2019.06 湖南农业大学2019.07-2021.05 彩虹集团（邵阳)特种玻璃有限公司</v>
      </c>
      <c r="AC33" s="2" t="str">
        <f>"2017.03-2017.05  临沂市第二中学 高中化学教师实习"</f>
        <v>2017.03-2017.05  临沂市第二中学 高中化学教师实习</v>
      </c>
      <c r="AD33" s="2" t="str">
        <f>"2021.09-2022.05 郴州市嘉禾县第六中学  高中化学教师"</f>
        <v>2021.09-2022.05 郴州市嘉禾县第六中学  高中化学教师</v>
      </c>
      <c r="AE33" s="2" t="str">
        <f>""</f>
        <v/>
      </c>
    </row>
    <row r="34" spans="1:31" s="1" customFormat="1" ht="24" customHeight="1">
      <c r="A34" s="2" t="str">
        <f>"10842022051210154785111"</f>
        <v>10842022051210154785111</v>
      </c>
      <c r="B34" s="2" t="s">
        <v>7</v>
      </c>
      <c r="C34" s="2" t="s">
        <v>6</v>
      </c>
      <c r="D34" s="2" t="str">
        <f>"张艳花"</f>
        <v>张艳花</v>
      </c>
      <c r="E34" s="2" t="str">
        <f>"女"</f>
        <v>女</v>
      </c>
      <c r="F34" s="2" t="str">
        <f>"430522199104013882"</f>
        <v>430522199104013882</v>
      </c>
      <c r="G34" s="2" t="str">
        <f>"15573284905"</f>
        <v>15573284905</v>
      </c>
      <c r="H34" s="2" t="str">
        <f>"汉"</f>
        <v>汉</v>
      </c>
      <c r="I34" s="2" t="str">
        <f>"1991-04-01"</f>
        <v>1991-04-01</v>
      </c>
      <c r="J34" s="2" t="str">
        <f>"群众"</f>
        <v>群众</v>
      </c>
      <c r="K34" s="2" t="str">
        <f t="shared" si="6"/>
        <v>全日制硕士研究生</v>
      </c>
      <c r="L34" s="2" t="str">
        <f t="shared" si="1"/>
        <v>硕士</v>
      </c>
      <c r="M34" s="2" t="str">
        <f>"湘潭大学"</f>
        <v>湘潭大学</v>
      </c>
      <c r="N34" s="2" t="str">
        <f>"化学"</f>
        <v>化学</v>
      </c>
      <c r="O34" s="2" t="str">
        <f>"105301201802000879"</f>
        <v>105301201802000879</v>
      </c>
      <c r="P34" s="2" t="str">
        <f>"1053032018100873"</f>
        <v>1053032018100873</v>
      </c>
      <c r="Q34" s="2" t="str">
        <f>"高中化学教师资格证"</f>
        <v>高中化学教师资格证</v>
      </c>
      <c r="R34" s="2" t="str">
        <f>"15.待业人员"</f>
        <v>15.待业人员</v>
      </c>
      <c r="S34" s="2" t="str">
        <f>"20154300542001807"</f>
        <v>20154300542001807</v>
      </c>
      <c r="T34" s="2" t="str">
        <f>"2015-06-10"</f>
        <v>2015-06-10</v>
      </c>
      <c r="U34" s="2" t="str">
        <f>"湖南邵阳"</f>
        <v>湖南邵阳</v>
      </c>
      <c r="V34" s="2" t="str">
        <f>"已婚"</f>
        <v>已婚</v>
      </c>
      <c r="W34" s="2" t="str">
        <f>"衡阳市人力资源服务中心"</f>
        <v>衡阳市人力资源服务中心</v>
      </c>
      <c r="X34" s="2" t="str">
        <f>"唱歌，英语口语"</f>
        <v>唱歌，英语口语</v>
      </c>
      <c r="Y34" s="2" t="str">
        <f>"湖南省衡阳市石鼓区"</f>
        <v>湖南省衡阳市石鼓区</v>
      </c>
      <c r="Z34" s="2" t="str">
        <f>"421000"</f>
        <v>421000</v>
      </c>
      <c r="AA34" s="2" t="str">
        <f>"1137415764@qq.com"</f>
        <v>1137415764@qq.com</v>
      </c>
      <c r="AB34" s="2" t="str">
        <f>"2008.9-2011.6在冷水江师范学校就读高中2011.9-2015.7在衡阳师范学院就读大学本科2015.9-2018.7在湘潭大学就读硕士研究生2018.9-2019.7在浏阳市第八中学任教高中化学2019.9-2020.7在浏阳市第六中学任教高中化学2021.9-2022.7在衡阳市雅礼学校任教"</f>
        <v>2008.9-2011.6在冷水江师范学校就读高中2011.9-2015.7在衡阳师范学院就读大学本科2015.9-2018.7在湘潭大学就读硕士研究生2018.9-2019.7在浏阳市第八中学任教高中化学2019.9-2020.7在浏阳市第六中学任教高中化学2021.9-2022.7在衡阳市雅礼学校任教</v>
      </c>
      <c r="AC34" s="2" t="str">
        <f>"2018.9-2019.7在浏阳市第八中学任教高中化学2019.9-2020.7在浏阳市第六中学任教高中化学2021.9-2022.7在衡阳市雅礼学校任教"</f>
        <v>2018.9-2019.7在浏阳市第八中学任教高中化学2019.9-2020.7在浏阳市第六中学任教高中化学2021.9-2022.7在衡阳市雅礼学校任教</v>
      </c>
      <c r="AD34" s="2" t="str">
        <f>"1991年4月出生的化学类硕士研究生"</f>
        <v>1991年4月出生的化学类硕士研究生</v>
      </c>
      <c r="AE34" s="2" t="str">
        <f>""</f>
        <v/>
      </c>
    </row>
    <row r="35" spans="1:31" s="1" customFormat="1" ht="24" customHeight="1">
      <c r="A35" s="2" t="str">
        <f>"10842022051215544185543"</f>
        <v>10842022051215544185543</v>
      </c>
      <c r="B35" s="2" t="s">
        <v>7</v>
      </c>
      <c r="C35" s="2" t="s">
        <v>6</v>
      </c>
      <c r="D35" s="2" t="str">
        <f>"李易湘"</f>
        <v>李易湘</v>
      </c>
      <c r="E35" s="2" t="str">
        <f>"女"</f>
        <v>女</v>
      </c>
      <c r="F35" s="2" t="str">
        <f>"430426199709067226"</f>
        <v>430426199709067226</v>
      </c>
      <c r="G35" s="2" t="str">
        <f>"18390583303"</f>
        <v>18390583303</v>
      </c>
      <c r="H35" s="2" t="str">
        <f>"汉"</f>
        <v>汉</v>
      </c>
      <c r="I35" s="2" t="str">
        <f>"1997-09-06"</f>
        <v>1997-09-06</v>
      </c>
      <c r="J35" s="2" t="str">
        <f>"党员"</f>
        <v>党员</v>
      </c>
      <c r="K35" s="2" t="str">
        <f t="shared" si="6"/>
        <v>全日制硕士研究生</v>
      </c>
      <c r="L35" s="2" t="str">
        <f t="shared" si="1"/>
        <v>硕士</v>
      </c>
      <c r="M35" s="2" t="str">
        <f>"湘潭大学"</f>
        <v>湘潭大学</v>
      </c>
      <c r="N35" s="2" t="str">
        <f>"化学"</f>
        <v>化学</v>
      </c>
      <c r="O35" s="2" t="str">
        <f>"105301202102000460"</f>
        <v>105301202102000460</v>
      </c>
      <c r="P35" s="2" t="str">
        <f>"1053032021100460"</f>
        <v>1053032021100460</v>
      </c>
      <c r="Q35" s="2" t="str">
        <f>"高级中学化学教师资格证"</f>
        <v>高级中学化学教师资格证</v>
      </c>
      <c r="R35" s="2" t="str">
        <f>"15.待业人员"</f>
        <v>15.待业人员</v>
      </c>
      <c r="S35" s="2" t="str">
        <f>"20184601142000378"</f>
        <v>20184601142000378</v>
      </c>
      <c r="T35" s="2" t="str">
        <f>"2018-5-21"</f>
        <v>2018-5-21</v>
      </c>
      <c r="U35" s="2" t="str">
        <f>"湖南省衡阳市祁东县"</f>
        <v>湖南省衡阳市祁东县</v>
      </c>
      <c r="V35" s="2" t="str">
        <f>"未婚"</f>
        <v>未婚</v>
      </c>
      <c r="W35" s="2" t="str">
        <f>"湖南省衡阳市祁东县人才资源管理中心"</f>
        <v>湖南省衡阳市祁东县人才资源管理中心</v>
      </c>
      <c r="X35" s="2" t="str">
        <f>""</f>
        <v/>
      </c>
      <c r="Y35" s="2" t="str">
        <f>"湖南省衡阳市衡阳县江山学校"</f>
        <v>湖南省衡阳市衡阳县江山学校</v>
      </c>
      <c r="Z35" s="2" t="str">
        <f>"421200"</f>
        <v>421200</v>
      </c>
      <c r="AA35" s="2" t="str">
        <f>"1849592619@qq.com"</f>
        <v>1849592619@qq.com</v>
      </c>
      <c r="AB35" s="2" t="str">
        <f>"高中就读于衡阳市祁东县第二中学；本科就读于娄底市湖南人文科技学院化学师范专业；硕士研究生就读于湘潭市湘潭大学化学专业；现在衡阳市衡阳县江山学校任高一化学教师。"</f>
        <v>高中就读于衡阳市祁东县第二中学；本科就读于娄底市湖南人文科技学院化学师范专业；硕士研究生就读于湘潭市湘潭大学化学专业；现在衡阳市衡阳县江山学校任高一化学教师。</v>
      </c>
      <c r="AC35" s="2" t="str">
        <f>"无"</f>
        <v>无</v>
      </c>
      <c r="AD35" s="2" t="str">
        <f>"无"</f>
        <v>无</v>
      </c>
      <c r="AE35" s="2" t="str">
        <f>"曾获得国家励志奖学金，英语已通过六级"</f>
        <v>曾获得国家励志奖学金，英语已通过六级</v>
      </c>
    </row>
    <row r="36" spans="1:31" s="1" customFormat="1" ht="24" customHeight="1">
      <c r="A36" s="2" t="str">
        <f>"10842022050921204782706"</f>
        <v>10842022050921204782706</v>
      </c>
      <c r="B36" s="2" t="s">
        <v>1</v>
      </c>
      <c r="C36" s="2" t="s">
        <v>5</v>
      </c>
      <c r="D36" s="2" t="str">
        <f>"唐孝青"</f>
        <v>唐孝青</v>
      </c>
      <c r="E36" s="2" t="str">
        <f>"男"</f>
        <v>男</v>
      </c>
      <c r="F36" s="2" t="str">
        <f>"430426198409120473"</f>
        <v>430426198409120473</v>
      </c>
      <c r="G36" s="2" t="str">
        <f>"15386022962"</f>
        <v>15386022962</v>
      </c>
      <c r="H36" s="2" t="str">
        <f>"汉"</f>
        <v>汉</v>
      </c>
      <c r="I36" s="2" t="str">
        <f>"1984-09-12"</f>
        <v>1984-09-12</v>
      </c>
      <c r="J36" s="2" t="str">
        <f>"党员"</f>
        <v>党员</v>
      </c>
      <c r="K36" s="2" t="str">
        <f t="shared" si="6"/>
        <v>全日制硕士研究生</v>
      </c>
      <c r="L36" s="2" t="str">
        <f t="shared" si="1"/>
        <v>硕士</v>
      </c>
      <c r="M36" s="2" t="str">
        <f>"云南师范大学"</f>
        <v>云南师范大学</v>
      </c>
      <c r="N36" s="2" t="str">
        <f>"发展与教育心理学"</f>
        <v>发展与教育心理学</v>
      </c>
      <c r="O36" s="2" t="str">
        <f>"106811201102000226"</f>
        <v>106811201102000226</v>
      </c>
      <c r="P36" s="2" t="str">
        <f>"1068132011000217"</f>
        <v>1068132011000217</v>
      </c>
      <c r="Q36" s="2" t="str">
        <f>"高级中学教师资格"</f>
        <v>高级中学教师资格</v>
      </c>
      <c r="R36" s="2" t="str">
        <f>"4.事业单位职员(不含工人)"</f>
        <v>4.事业单位职员(不含工人)</v>
      </c>
      <c r="S36" s="2" t="str">
        <f>"20214300541001004"</f>
        <v>20214300541001004</v>
      </c>
      <c r="T36" s="2" t="str">
        <f>"2021-7-20"</f>
        <v>2021-7-20</v>
      </c>
      <c r="U36" s="2" t="str">
        <f>"湖南省祁东县"</f>
        <v>湖南省祁东县</v>
      </c>
      <c r="V36" s="2" t="str">
        <f>"未婚"</f>
        <v>未婚</v>
      </c>
      <c r="W36" s="2" t="str">
        <f>"祁东县人才交流中心"</f>
        <v>祁东县人才交流中心</v>
      </c>
      <c r="X36" s="2" t="str">
        <f>""</f>
        <v/>
      </c>
      <c r="Y36" s="2" t="str">
        <f>"湖南省祁东县玉合街道鼎山西路四巷7号"</f>
        <v>湖南省祁东县玉合街道鼎山西路四巷7号</v>
      </c>
      <c r="Z36" s="2" t="str">
        <f>"421600"</f>
        <v>421600</v>
      </c>
      <c r="AA36" s="2" t="str">
        <f>"154029896@qq.com"</f>
        <v>154029896@qq.com</v>
      </c>
      <c r="AB36" s="2" t="str">
        <f>"2000.9-2003.6 祁东一中2003.9-2007.6 衡阳师范学院2008.9-2011.6 云南师范大学2020.4-至今   祁东县职业中等专业学校"</f>
        <v>2000.9-2003.6 祁东一中2003.9-2007.6 衡阳师范学院2008.9-2011.6 云南师范大学2020.4-至今   祁东县职业中等专业学校</v>
      </c>
      <c r="AC36" s="2" t="str">
        <f>""</f>
        <v/>
      </c>
      <c r="AD36" s="2" t="str">
        <f>""</f>
        <v/>
      </c>
      <c r="AE36" s="2" t="str">
        <f>""</f>
        <v/>
      </c>
    </row>
    <row r="37" spans="1:31" s="1" customFormat="1" ht="24" customHeight="1">
      <c r="A37" s="2" t="str">
        <f>"10842022050810263278435"</f>
        <v>10842022050810263278435</v>
      </c>
      <c r="B37" s="2" t="s">
        <v>1</v>
      </c>
      <c r="C37" s="2" t="s">
        <v>3</v>
      </c>
      <c r="D37" s="2" t="str">
        <f>"刘巧云"</f>
        <v>刘巧云</v>
      </c>
      <c r="E37" s="2" t="str">
        <f>"女"</f>
        <v>女</v>
      </c>
      <c r="F37" s="2" t="str">
        <f>"430482199610080720"</f>
        <v>430482199610080720</v>
      </c>
      <c r="G37" s="2" t="str">
        <f>"18773429965"</f>
        <v>18773429965</v>
      </c>
      <c r="H37" s="2" t="str">
        <f>"汉"</f>
        <v>汉</v>
      </c>
      <c r="I37" s="2" t="str">
        <f>"1996-10-08"</f>
        <v>1996-10-08</v>
      </c>
      <c r="J37" s="2" t="str">
        <f>"群众"</f>
        <v>群众</v>
      </c>
      <c r="K37" s="2" t="str">
        <f t="shared" ref="K37:K68" si="8">"全日制本科"</f>
        <v>全日制本科</v>
      </c>
      <c r="L37" s="2" t="str">
        <f t="shared" ref="L37:L68" si="9">"学士"</f>
        <v>学士</v>
      </c>
      <c r="M37" s="2" t="str">
        <f>"衡阳师范学院"</f>
        <v>衡阳师范学院</v>
      </c>
      <c r="N37" s="2" t="str">
        <f>"计算机科学与技术"</f>
        <v>计算机科学与技术</v>
      </c>
      <c r="O37" s="2" t="str">
        <f>"105461201805140814"</f>
        <v>105461201805140814</v>
      </c>
      <c r="P37" s="2" t="str">
        <f>"1054642018977962"</f>
        <v>1054642018977962</v>
      </c>
      <c r="Q37" s="2" t="str">
        <f>"无"</f>
        <v>无</v>
      </c>
      <c r="R37" s="2" t="str">
        <f>"15.待业人员"</f>
        <v>15.待业人员</v>
      </c>
      <c r="S37" s="2" t="str">
        <f>"无"</f>
        <v>无</v>
      </c>
      <c r="T37" s="2" t="str">
        <f>"无"</f>
        <v>无</v>
      </c>
      <c r="U37" s="2" t="str">
        <f>"湖南省常宁市"</f>
        <v>湖南省常宁市</v>
      </c>
      <c r="V37" s="2" t="str">
        <f>"已婚"</f>
        <v>已婚</v>
      </c>
      <c r="W37" s="2" t="str">
        <f>"衡阳师范学院档案馆"</f>
        <v>衡阳师范学院档案馆</v>
      </c>
      <c r="X37" s="2" t="str">
        <f>""</f>
        <v/>
      </c>
      <c r="Y37" s="2" t="str">
        <f>"湖南省衡阳市珠晖区清泉里新社区"</f>
        <v>湖南省衡阳市珠晖区清泉里新社区</v>
      </c>
      <c r="Z37" s="2" t="str">
        <f>"421500"</f>
        <v>421500</v>
      </c>
      <c r="AA37" s="2" t="str">
        <f>"1572706720@qq.com"</f>
        <v>1572706720@qq.com</v>
      </c>
      <c r="AB37" s="2" t="str">
        <f>"2014-2018:衡阳师范学院2018-2019:东莞洲华机电设备工程有限公司"</f>
        <v>2014-2018:衡阳师范学院2018-2019:东莞洲华机电设备工程有限公司</v>
      </c>
      <c r="AC37" s="2" t="str">
        <f>""</f>
        <v/>
      </c>
      <c r="AD37" s="2" t="str">
        <f>""</f>
        <v/>
      </c>
      <c r="AE37" s="2" t="str">
        <f>""</f>
        <v/>
      </c>
    </row>
    <row r="38" spans="1:31" s="1" customFormat="1" ht="24" customHeight="1">
      <c r="A38" s="2" t="str">
        <f>"10842022050811081878667"</f>
        <v>10842022050811081878667</v>
      </c>
      <c r="B38" s="2" t="s">
        <v>1</v>
      </c>
      <c r="C38" s="2" t="s">
        <v>3</v>
      </c>
      <c r="D38" s="2" t="str">
        <f>"邹亚静"</f>
        <v>邹亚静</v>
      </c>
      <c r="E38" s="2" t="str">
        <f>"女"</f>
        <v>女</v>
      </c>
      <c r="F38" s="2" t="str">
        <f>"430426199909209540"</f>
        <v>430426199909209540</v>
      </c>
      <c r="G38" s="2" t="str">
        <f>"13397349276"</f>
        <v>13397349276</v>
      </c>
      <c r="H38" s="2" t="str">
        <f>"汉族"</f>
        <v>汉族</v>
      </c>
      <c r="I38" s="2" t="str">
        <f>"1999-09-20"</f>
        <v>1999-09-20</v>
      </c>
      <c r="J38" s="2" t="str">
        <f>"共青团员"</f>
        <v>共青团员</v>
      </c>
      <c r="K38" s="2" t="str">
        <f t="shared" si="8"/>
        <v>全日制本科</v>
      </c>
      <c r="L38" s="2" t="str">
        <f t="shared" si="9"/>
        <v>学士</v>
      </c>
      <c r="M38" s="2" t="str">
        <f>"湖南科技学院"</f>
        <v>湖南科技学院</v>
      </c>
      <c r="N38" s="2" t="str">
        <f>"教育技术学"</f>
        <v>教育技术学</v>
      </c>
      <c r="O38" s="2" t="str">
        <f>"105511202105002721"</f>
        <v>105511202105002721</v>
      </c>
      <c r="P38" s="2" t="str">
        <f>"1055142021002721"</f>
        <v>1055142021002721</v>
      </c>
      <c r="Q38" s="2" t="str">
        <f>"高中信息技术教师资格"</f>
        <v>高中信息技术教师资格</v>
      </c>
      <c r="R38" s="2" t="str">
        <f>"15.待业人员"</f>
        <v>15.待业人员</v>
      </c>
      <c r="S38" s="2" t="str">
        <f>"20214301442000293"</f>
        <v>20214301442000293</v>
      </c>
      <c r="T38" s="2" t="str">
        <f>"2021-7-28"</f>
        <v>2021-7-28</v>
      </c>
      <c r="U38" s="2" t="str">
        <f>"湖南省祁东县"</f>
        <v>湖南省祁东县</v>
      </c>
      <c r="V38" s="2" t="str">
        <f t="shared" ref="V38:V47" si="10">"未婚"</f>
        <v>未婚</v>
      </c>
      <c r="W38" s="2" t="str">
        <f>"桂阳县教育局"</f>
        <v>桂阳县教育局</v>
      </c>
      <c r="X38" s="2" t="str">
        <f>""</f>
        <v/>
      </c>
      <c r="Y38" s="2" t="str">
        <f>"湖南省祁东县城中小区A栋"</f>
        <v>湖南省祁东县城中小区A栋</v>
      </c>
      <c r="Z38" s="2" t="str">
        <f>"421600"</f>
        <v>421600</v>
      </c>
      <c r="AA38" s="2" t="str">
        <f>"1475252337@qq.com"</f>
        <v>1475252337@qq.com</v>
      </c>
      <c r="AB38" s="2" t="str">
        <f>"2014年9月至2017年6月高中就读于郴州综合职业中专学校2017年9月至2021年6月大学就读于湖南科技学院"</f>
        <v>2014年9月至2017年6月高中就读于郴州综合职业中专学校2017年9月至2021年6月大学就读于湖南科技学院</v>
      </c>
      <c r="AC38" s="2" t="str">
        <f>"2021年3月至2021年7月在郴州综合职业中专实习任教计算机教师"</f>
        <v>2021年3月至2021年7月在郴州综合职业中专实习任教计算机教师</v>
      </c>
      <c r="AD38" s="2" t="str">
        <f>""</f>
        <v/>
      </c>
      <c r="AE38" s="2" t="str">
        <f>""</f>
        <v/>
      </c>
    </row>
    <row r="39" spans="1:31" s="1" customFormat="1" ht="24" customHeight="1">
      <c r="A39" s="2" t="str">
        <f>"10842022050811292078748"</f>
        <v>10842022050811292078748</v>
      </c>
      <c r="B39" s="2" t="s">
        <v>1</v>
      </c>
      <c r="C39" s="2" t="s">
        <v>3</v>
      </c>
      <c r="D39" s="2" t="str">
        <f>"曾得文"</f>
        <v>曾得文</v>
      </c>
      <c r="E39" s="2" t="str">
        <f>"男"</f>
        <v>男</v>
      </c>
      <c r="F39" s="2" t="str">
        <f>"430426200006169475"</f>
        <v>430426200006169475</v>
      </c>
      <c r="G39" s="2" t="str">
        <f>"15304483961"</f>
        <v>15304483961</v>
      </c>
      <c r="H39" s="2" t="str">
        <f>"汉族"</f>
        <v>汉族</v>
      </c>
      <c r="I39" s="2" t="str">
        <f>"2000-06-16"</f>
        <v>2000-06-16</v>
      </c>
      <c r="J39" s="2" t="str">
        <f>"共青团员"</f>
        <v>共青团员</v>
      </c>
      <c r="K39" s="2" t="str">
        <f t="shared" si="8"/>
        <v>全日制本科</v>
      </c>
      <c r="L39" s="2" t="str">
        <f t="shared" si="9"/>
        <v>学士</v>
      </c>
      <c r="M39" s="2" t="str">
        <f>"长春师范大学"</f>
        <v>长春师范大学</v>
      </c>
      <c r="N39" s="2" t="str">
        <f>"教育技术学"</f>
        <v>教育技术学</v>
      </c>
      <c r="O39" s="2" t="str">
        <f>"102051202105001669"</f>
        <v>102051202105001669</v>
      </c>
      <c r="P39" s="2" t="str">
        <f>"1020542021001656"</f>
        <v>1020542021001656</v>
      </c>
      <c r="Q39" s="2" t="str">
        <f>"无"</f>
        <v>无</v>
      </c>
      <c r="R39" s="2" t="str">
        <f>"8.其他经济组织社会组织人员(不含工人)"</f>
        <v>8.其他经济组织社会组织人员(不含工人)</v>
      </c>
      <c r="S39" s="2" t="str">
        <f>"无"</f>
        <v>无</v>
      </c>
      <c r="T39" s="2" t="str">
        <f>"无"</f>
        <v>无</v>
      </c>
      <c r="U39" s="2" t="str">
        <f>"湖南祁东"</f>
        <v>湖南祁东</v>
      </c>
      <c r="V39" s="2" t="str">
        <f t="shared" si="10"/>
        <v>未婚</v>
      </c>
      <c r="W39" s="2" t="str">
        <f>"长春师范大学"</f>
        <v>长春师范大学</v>
      </c>
      <c r="X39" s="2" t="str">
        <f>""</f>
        <v/>
      </c>
      <c r="Y39" s="2" t="str">
        <f>"湖南省祁东县"</f>
        <v>湖南省祁东县</v>
      </c>
      <c r="Z39" s="2" t="str">
        <f>"421641"</f>
        <v>421641</v>
      </c>
      <c r="AA39" s="2" t="str">
        <f>"1823701681@qq.com"</f>
        <v>1823701681@qq.com</v>
      </c>
      <c r="AB39" s="2" t="str">
        <f>"2020.9-2020.12 吉林省第二实验远洋校区信息中心实习，负责摄像摄影和设备维护以及教学2021.8-至今优动机器人负责奥赛培训以及软件编程培训"</f>
        <v>2020.9-2020.12 吉林省第二实验远洋校区信息中心实习，负责摄像摄影和设备维护以及教学2021.8-至今优动机器人负责奥赛培训以及软件编程培训</v>
      </c>
      <c r="AC39" s="2" t="str">
        <f>""</f>
        <v/>
      </c>
      <c r="AD39" s="2" t="str">
        <f>""</f>
        <v/>
      </c>
      <c r="AE39" s="2" t="str">
        <f>""</f>
        <v/>
      </c>
    </row>
    <row r="40" spans="1:31" s="1" customFormat="1" ht="24" customHeight="1">
      <c r="A40" s="2" t="str">
        <f>"10842022050812192478929"</f>
        <v>10842022050812192478929</v>
      </c>
      <c r="B40" s="2" t="s">
        <v>1</v>
      </c>
      <c r="C40" s="2" t="s">
        <v>3</v>
      </c>
      <c r="D40" s="2" t="str">
        <f>"蒋昊"</f>
        <v>蒋昊</v>
      </c>
      <c r="E40" s="2" t="str">
        <f>"男"</f>
        <v>男</v>
      </c>
      <c r="F40" s="2" t="str">
        <f>"430426200001260499"</f>
        <v>430426200001260499</v>
      </c>
      <c r="G40" s="2" t="str">
        <f>"15673285619"</f>
        <v>15673285619</v>
      </c>
      <c r="H40" s="2" t="str">
        <f>"汉"</f>
        <v>汉</v>
      </c>
      <c r="I40" s="2" t="str">
        <f>"2000-01-26"</f>
        <v>2000-01-26</v>
      </c>
      <c r="J40" s="2" t="str">
        <f>"群众"</f>
        <v>群众</v>
      </c>
      <c r="K40" s="2" t="str">
        <f t="shared" si="8"/>
        <v>全日制本科</v>
      </c>
      <c r="L40" s="2" t="str">
        <f t="shared" si="9"/>
        <v>学士</v>
      </c>
      <c r="M40" s="2" t="str">
        <f>"湖南科技大学潇湘学院"</f>
        <v>湖南科技大学潇湘学院</v>
      </c>
      <c r="N40" s="2" t="str">
        <f>"计算机科学与技术"</f>
        <v>计算机科学与技术</v>
      </c>
      <c r="O40" s="2" t="str">
        <f>"126491202105000344"</f>
        <v>126491202105000344</v>
      </c>
      <c r="P40" s="2" t="str">
        <f>"126494202100064"</f>
        <v>126494202100064</v>
      </c>
      <c r="Q40" s="2" t="str">
        <f>"无"</f>
        <v>无</v>
      </c>
      <c r="R40" s="2" t="str">
        <f>"15.待业人员"</f>
        <v>15.待业人员</v>
      </c>
      <c r="S40" s="2" t="str">
        <f>"无"</f>
        <v>无</v>
      </c>
      <c r="T40" s="2" t="str">
        <f>"无"</f>
        <v>无</v>
      </c>
      <c r="U40" s="2" t="str">
        <f>"湖南祁东"</f>
        <v>湖南祁东</v>
      </c>
      <c r="V40" s="2" t="str">
        <f t="shared" si="10"/>
        <v>未婚</v>
      </c>
      <c r="W40" s="2" t="str">
        <f>"祁东县人才中心"</f>
        <v>祁东县人才中心</v>
      </c>
      <c r="X40" s="2" t="str">
        <f>"计算机技术与软件专业技术资格考试讲师；打球；"</f>
        <v>计算机技术与软件专业技术资格考试讲师；打球；</v>
      </c>
      <c r="Y40" s="2" t="str">
        <f>"湖南省祁东县洪桥镇营房新村"</f>
        <v>湖南省祁东县洪桥镇营房新村</v>
      </c>
      <c r="Z40" s="2" t="str">
        <f>"421600"</f>
        <v>421600</v>
      </c>
      <c r="AA40" s="2" t="str">
        <f>"1187054964@qq.com"</f>
        <v>1187054964@qq.com</v>
      </c>
      <c r="AB40" s="2" t="str">
        <f>"2014.9-2017.6祁东二中学习；2017.9-2021.6湖南科技大学潇湘学院学习；2021.6-至今 希赛网计算机技术与软件专业技术资格考试讲师"</f>
        <v>2014.9-2017.6祁东二中学习；2017.9-2021.6湖南科技大学潇湘学院学习；2021.6-至今 希赛网计算机技术与软件专业技术资格考试讲师</v>
      </c>
      <c r="AC40" s="2" t="str">
        <f>"计算机科班出身；赛网计算机技术与软件专业技术资格考试讲师。"</f>
        <v>计算机科班出身；赛网计算机技术与软件专业技术资格考试讲师。</v>
      </c>
      <c r="AD40" s="2" t="str">
        <f>""</f>
        <v/>
      </c>
      <c r="AE40" s="2" t="str">
        <f>"校级综合奖学金"</f>
        <v>校级综合奖学金</v>
      </c>
    </row>
    <row r="41" spans="1:31" s="1" customFormat="1" ht="24" customHeight="1">
      <c r="A41" s="2" t="str">
        <f>"10842022050813583979278"</f>
        <v>10842022050813583979278</v>
      </c>
      <c r="B41" s="2" t="s">
        <v>1</v>
      </c>
      <c r="C41" s="2" t="s">
        <v>3</v>
      </c>
      <c r="D41" s="2" t="str">
        <f>"张文康"</f>
        <v>张文康</v>
      </c>
      <c r="E41" s="2" t="str">
        <f>"男"</f>
        <v>男</v>
      </c>
      <c r="F41" s="2" t="str">
        <f>"430426199910228757"</f>
        <v>430426199910228757</v>
      </c>
      <c r="G41" s="2" t="str">
        <f>"18570943990"</f>
        <v>18570943990</v>
      </c>
      <c r="H41" s="2" t="str">
        <f>"汉族"</f>
        <v>汉族</v>
      </c>
      <c r="I41" s="2" t="str">
        <f>"1999-10-22"</f>
        <v>1999-10-22</v>
      </c>
      <c r="J41" s="2" t="str">
        <f>"党员"</f>
        <v>党员</v>
      </c>
      <c r="K41" s="2" t="str">
        <f t="shared" si="8"/>
        <v>全日制本科</v>
      </c>
      <c r="L41" s="2" t="str">
        <f t="shared" si="9"/>
        <v>学士</v>
      </c>
      <c r="M41" s="2" t="str">
        <f>"黔南民族师范学院"</f>
        <v>黔南民族师范学院</v>
      </c>
      <c r="N41" s="2" t="str">
        <f>"软件工程"</f>
        <v>软件工程</v>
      </c>
      <c r="O41" s="2" t="str">
        <f>"无（2022年应届毕业生，还未颁发毕业证）"</f>
        <v>无（2022年应届毕业生，还未颁发毕业证）</v>
      </c>
      <c r="P41" s="2" t="str">
        <f>"无（2022年应届毕业生，还未颁发学位证）"</f>
        <v>无（2022年应届毕业生，还未颁发学位证）</v>
      </c>
      <c r="Q41" s="2" t="str">
        <f>"无（2022年应届毕业生）"</f>
        <v>无（2022年应届毕业生）</v>
      </c>
      <c r="R41" s="2" t="str">
        <f>"15.待业人员"</f>
        <v>15.待业人员</v>
      </c>
      <c r="S41" s="2" t="str">
        <f>"无（2022年应届毕业生）"</f>
        <v>无（2022年应届毕业生）</v>
      </c>
      <c r="T41" s="2" t="str">
        <f>"无（2022年应届毕业生）"</f>
        <v>无（2022年应届毕业生）</v>
      </c>
      <c r="U41" s="2" t="str">
        <f>"湖南祁东"</f>
        <v>湖南祁东</v>
      </c>
      <c r="V41" s="2" t="str">
        <f t="shared" si="10"/>
        <v>未婚</v>
      </c>
      <c r="W41" s="2" t="str">
        <f>"黔南民族师范学院"</f>
        <v>黔南民族师范学院</v>
      </c>
      <c r="X41" s="2" t="str">
        <f>""</f>
        <v/>
      </c>
      <c r="Y41" s="2" t="str">
        <f>"湖南省祁东县黄土铺镇大胜村七姓6组"</f>
        <v>湖南省祁东县黄土铺镇大胜村七姓6组</v>
      </c>
      <c r="Z41" s="2" t="str">
        <f>"421600"</f>
        <v>421600</v>
      </c>
      <c r="AA41" s="2" t="str">
        <f>"1170705339@qq.com"</f>
        <v>1170705339@qq.com</v>
      </c>
      <c r="AB41" s="2" t="str">
        <f>"入学以来，积极参与学校社会举办的相关活动，并且积极参与与专业相关的竞赛，同时保持学习成绩优异。大学期间，获得过国家励志奖学金、&amp;#61548;2019学全国大学生电子设计大赛贵州省二等奖  、&amp;#61548;2021年“挑战杯”贵州省大学生课外学术科技作品竞赛二等奖，与此同时，已考过大学英语四级、计算机三级等级考试和软件设计师职业资格整数"</f>
        <v>入学以来，积极参与学校社会举办的相关活动，并且积极参与与专业相关的竞赛，同时保持学习成绩优异。大学期间，获得过国家励志奖学金、&amp;#61548;2019学全国大学生电子设计大赛贵州省二等奖  、&amp;#61548;2021年“挑战杯”贵州省大学生课外学术科技作品竞赛二等奖，与此同时，已考过大学英语四级、计算机三级等级考试和软件设计师职业资格整数</v>
      </c>
      <c r="AC41" s="2" t="str">
        <f>""</f>
        <v/>
      </c>
      <c r="AD41" s="2" t="str">
        <f>""</f>
        <v/>
      </c>
      <c r="AE41" s="2" t="str">
        <f>""</f>
        <v/>
      </c>
    </row>
    <row r="42" spans="1:31" s="1" customFormat="1" ht="24" customHeight="1">
      <c r="A42" s="2" t="str">
        <f>"10842022050814110979321"</f>
        <v>10842022050814110979321</v>
      </c>
      <c r="B42" s="2" t="s">
        <v>1</v>
      </c>
      <c r="C42" s="2" t="s">
        <v>3</v>
      </c>
      <c r="D42" s="2" t="str">
        <f>"刘力渔"</f>
        <v>刘力渔</v>
      </c>
      <c r="E42" s="2" t="str">
        <f>"女"</f>
        <v>女</v>
      </c>
      <c r="F42" s="2" t="str">
        <f>"430525199901221122"</f>
        <v>430525199901221122</v>
      </c>
      <c r="G42" s="2" t="str">
        <f>"17807399147"</f>
        <v>17807399147</v>
      </c>
      <c r="H42" s="2" t="str">
        <f>"汉族"</f>
        <v>汉族</v>
      </c>
      <c r="I42" s="2" t="str">
        <f>"1999-01-22"</f>
        <v>1999-01-22</v>
      </c>
      <c r="J42" s="2" t="str">
        <f>"共青团员"</f>
        <v>共青团员</v>
      </c>
      <c r="K42" s="2" t="str">
        <f t="shared" si="8"/>
        <v>全日制本科</v>
      </c>
      <c r="L42" s="2" t="str">
        <f t="shared" si="9"/>
        <v>学士</v>
      </c>
      <c r="M42" s="2" t="str">
        <f>"湖南城市学院"</f>
        <v>湖南城市学院</v>
      </c>
      <c r="N42" s="2" t="str">
        <f>"计算机科学与技术"</f>
        <v>计算机科学与技术</v>
      </c>
      <c r="O42" s="2" t="str">
        <f>"115271202105002988"</f>
        <v>115271202105002988</v>
      </c>
      <c r="P42" s="2" t="str">
        <f>"1152742021052988"</f>
        <v>1152742021052988</v>
      </c>
      <c r="Q42" s="2" t="str">
        <f>"无"</f>
        <v>无</v>
      </c>
      <c r="R42" s="2" t="str">
        <f>"15.待业人员"</f>
        <v>15.待业人员</v>
      </c>
      <c r="S42" s="2" t="str">
        <f>"无"</f>
        <v>无</v>
      </c>
      <c r="T42" s="2" t="str">
        <f>"无"</f>
        <v>无</v>
      </c>
      <c r="U42" s="2" t="str">
        <f>"湖南省邵阳市洞口县"</f>
        <v>湖南省邵阳市洞口县</v>
      </c>
      <c r="V42" s="2" t="str">
        <f t="shared" si="10"/>
        <v>未婚</v>
      </c>
      <c r="W42" s="2" t="str">
        <f>"湖南省洞口县就业服务中心"</f>
        <v>湖南省洞口县就业服务中心</v>
      </c>
      <c r="X42" s="2" t="str">
        <f>"无"</f>
        <v>无</v>
      </c>
      <c r="Y42" s="2" t="str">
        <f>"湖南省邵阳市洞口县洞口镇上城新都"</f>
        <v>湖南省邵阳市洞口县洞口镇上城新都</v>
      </c>
      <c r="Z42" s="2" t="str">
        <f>"422300"</f>
        <v>422300</v>
      </c>
      <c r="AA42" s="2" t="str">
        <f>"1412321161@qq.com"</f>
        <v>1412321161@qq.com</v>
      </c>
      <c r="AB42" s="2" t="str">
        <f>"2014.09-2017.06 湖南省洞口县第一中学 学生2017.09-2021.06 湖南城市学院 学生"</f>
        <v>2014.09-2017.06 湖南省洞口县第一中学 学生2017.09-2021.06 湖南城市学院 学生</v>
      </c>
      <c r="AC42" s="2" t="str">
        <f>""</f>
        <v/>
      </c>
      <c r="AD42" s="2" t="str">
        <f>""</f>
        <v/>
      </c>
      <c r="AE42" s="2" t="str">
        <f>""</f>
        <v/>
      </c>
    </row>
    <row r="43" spans="1:31" s="1" customFormat="1" ht="24" customHeight="1">
      <c r="A43" s="2" t="str">
        <f>"10842022050815294379526"</f>
        <v>10842022050815294379526</v>
      </c>
      <c r="B43" s="2" t="s">
        <v>1</v>
      </c>
      <c r="C43" s="2" t="s">
        <v>3</v>
      </c>
      <c r="D43" s="2" t="str">
        <f>"李碧霞"</f>
        <v>李碧霞</v>
      </c>
      <c r="E43" s="2" t="str">
        <f>"女"</f>
        <v>女</v>
      </c>
      <c r="F43" s="2" t="str">
        <f>"430426199309078946"</f>
        <v>430426199309078946</v>
      </c>
      <c r="G43" s="2" t="str">
        <f>"13823549397"</f>
        <v>13823549397</v>
      </c>
      <c r="H43" s="2" t="str">
        <f>"汉"</f>
        <v>汉</v>
      </c>
      <c r="I43" s="2" t="str">
        <f>"1993-09-07"</f>
        <v>1993-09-07</v>
      </c>
      <c r="J43" s="2" t="str">
        <f>"共青团员"</f>
        <v>共青团员</v>
      </c>
      <c r="K43" s="2" t="str">
        <f t="shared" si="8"/>
        <v>全日制本科</v>
      </c>
      <c r="L43" s="2" t="str">
        <f t="shared" si="9"/>
        <v>学士</v>
      </c>
      <c r="M43" s="2" t="str">
        <f>"湖南女子学院"</f>
        <v>湖南女子学院</v>
      </c>
      <c r="N43" s="2" t="str">
        <f>"计算机科学与技术"</f>
        <v>计算机科学与技术</v>
      </c>
      <c r="O43" s="2" t="str">
        <f>"115381201605001545"</f>
        <v>115381201605001545</v>
      </c>
      <c r="P43" s="2" t="str">
        <f>"1153842016001545"</f>
        <v>1153842016001545</v>
      </c>
      <c r="Q43" s="2" t="str">
        <f>"软件设计师"</f>
        <v>软件设计师</v>
      </c>
      <c r="R43" s="2" t="str">
        <f>"8.其他经济组织社会组织人员(不含工人)"</f>
        <v>8.其他经济组织社会组织人员(不含工人)</v>
      </c>
      <c r="S43" s="2" t="str">
        <f>"15215430210"</f>
        <v>15215430210</v>
      </c>
      <c r="T43" s="2" t="str">
        <f>"2016-04-01"</f>
        <v>2016-04-01</v>
      </c>
      <c r="U43" s="2" t="str">
        <f>"湖南衡阳市祁东县大路边村二组"</f>
        <v>湖南衡阳市祁东县大路边村二组</v>
      </c>
      <c r="V43" s="2" t="str">
        <f t="shared" si="10"/>
        <v>未婚</v>
      </c>
      <c r="W43" s="2" t="str">
        <f>"祁东人才交流中心"</f>
        <v>祁东人才交流中心</v>
      </c>
      <c r="X43" s="2" t="str">
        <f>""</f>
        <v/>
      </c>
      <c r="Y43" s="2" t="str">
        <f>"湖南省长沙市岳麓区涧塘社区45栋"</f>
        <v>湖南省长沙市岳麓区涧塘社区45栋</v>
      </c>
      <c r="Z43" s="2" t="str">
        <f>"410000"</f>
        <v>410000</v>
      </c>
      <c r="AA43" s="2" t="str">
        <f>"632392332@qq.com"</f>
        <v>632392332@qq.com</v>
      </c>
      <c r="AB43" s="2" t="str">
        <f>"2021.04至今  福米科技  JAVA后端开发工程师2018.06至2020.09 平安智慧城有限公司    JAVA后端开发工程师2016.08至2018.06  卓望数码(深圳)技术有限公司     JAVA后端开发工程师2012.09至2016.09 湖南女子学院"</f>
        <v>2021.04至今  福米科技  JAVA后端开发工程师2018.06至2020.09 平安智慧城有限公司    JAVA后端开发工程师2016.08至2018.06  卓望数码(深圳)技术有限公司     JAVA后端开发工程师2012.09至2016.09 湖南女子学院</v>
      </c>
      <c r="AC43" s="2" t="str">
        <f>""</f>
        <v/>
      </c>
      <c r="AD43" s="2" t="str">
        <f>""</f>
        <v/>
      </c>
      <c r="AE43" s="2" t="str">
        <f>""</f>
        <v/>
      </c>
    </row>
    <row r="44" spans="1:31" s="1" customFormat="1" ht="24" customHeight="1">
      <c r="A44" s="2" t="str">
        <f>"10842022050817245379814"</f>
        <v>10842022050817245379814</v>
      </c>
      <c r="B44" s="2" t="s">
        <v>1</v>
      </c>
      <c r="C44" s="2" t="s">
        <v>3</v>
      </c>
      <c r="D44" s="2" t="str">
        <f>"高凌涛"</f>
        <v>高凌涛</v>
      </c>
      <c r="E44" s="2" t="str">
        <f>"男"</f>
        <v>男</v>
      </c>
      <c r="F44" s="2" t="str">
        <f>"430426200002278471"</f>
        <v>430426200002278471</v>
      </c>
      <c r="G44" s="2" t="str">
        <f>"15874773819"</f>
        <v>15874773819</v>
      </c>
      <c r="H44" s="2" t="str">
        <f>"汉族"</f>
        <v>汉族</v>
      </c>
      <c r="I44" s="2" t="str">
        <f>"2000-02-27"</f>
        <v>2000-02-27</v>
      </c>
      <c r="J44" s="2" t="str">
        <f>"共青团员"</f>
        <v>共青团员</v>
      </c>
      <c r="K44" s="2" t="str">
        <f t="shared" si="8"/>
        <v>全日制本科</v>
      </c>
      <c r="L44" s="2" t="str">
        <f t="shared" si="9"/>
        <v>学士</v>
      </c>
      <c r="M44" s="2" t="str">
        <f>"湖南科技大学"</f>
        <v>湖南科技大学</v>
      </c>
      <c r="N44" s="2" t="str">
        <f>"计算机科学与技术"</f>
        <v>计算机科学与技术</v>
      </c>
      <c r="O44" s="2" t="str">
        <f>"105341202105005228"</f>
        <v>105341202105005228</v>
      </c>
      <c r="P44" s="2" t="str">
        <f>"1053442021005507"</f>
        <v>1053442021005507</v>
      </c>
      <c r="Q44" s="2" t="str">
        <f>"无"</f>
        <v>无</v>
      </c>
      <c r="R44" s="2" t="str">
        <f>"15.待业人员"</f>
        <v>15.待业人员</v>
      </c>
      <c r="S44" s="2" t="str">
        <f>"无"</f>
        <v>无</v>
      </c>
      <c r="T44" s="2" t="str">
        <f>"无"</f>
        <v>无</v>
      </c>
      <c r="U44" s="2" t="str">
        <f>"湖南省衡阳市祁东县"</f>
        <v>湖南省衡阳市祁东县</v>
      </c>
      <c r="V44" s="2" t="str">
        <f t="shared" si="10"/>
        <v>未婚</v>
      </c>
      <c r="W44" s="2" t="str">
        <f>"祁东县人力资源就业服务中心"</f>
        <v>祁东县人力资源就业服务中心</v>
      </c>
      <c r="X44" s="2" t="str">
        <f>""</f>
        <v/>
      </c>
      <c r="Y44" s="2" t="str">
        <f>"衡阳市祁东县洪桥镇向红街15号"</f>
        <v>衡阳市祁东县洪桥镇向红街15号</v>
      </c>
      <c r="Z44" s="2" t="str">
        <f>"421600"</f>
        <v>421600</v>
      </c>
      <c r="AA44" s="2" t="str">
        <f>"1364203391@qq.com"</f>
        <v>1364203391@qq.com</v>
      </c>
      <c r="AB44" s="2" t="str">
        <f>"2014-2017 祁东县二中    高中2017-2021 湖南科技大学  本科"</f>
        <v>2014-2017 祁东县二中    高中2017-2021 湖南科技大学  本科</v>
      </c>
      <c r="AC44" s="2" t="str">
        <f>""</f>
        <v/>
      </c>
      <c r="AD44" s="2" t="str">
        <f>""</f>
        <v/>
      </c>
      <c r="AE44" s="2" t="str">
        <f>""</f>
        <v/>
      </c>
    </row>
    <row r="45" spans="1:31" s="1" customFormat="1" ht="24" customHeight="1">
      <c r="A45" s="2" t="str">
        <f>"10842022050909081880742"</f>
        <v>10842022050909081880742</v>
      </c>
      <c r="B45" s="2" t="s">
        <v>1</v>
      </c>
      <c r="C45" s="2" t="s">
        <v>3</v>
      </c>
      <c r="D45" s="2" t="str">
        <f>"周渲奇"</f>
        <v>周渲奇</v>
      </c>
      <c r="E45" s="2" t="str">
        <f>"男"</f>
        <v>男</v>
      </c>
      <c r="F45" s="2" t="str">
        <f>"430426199709197696"</f>
        <v>430426199709197696</v>
      </c>
      <c r="G45" s="2" t="str">
        <f>"13007385459"</f>
        <v>13007385459</v>
      </c>
      <c r="H45" s="2" t="str">
        <f>"汉"</f>
        <v>汉</v>
      </c>
      <c r="I45" s="2" t="str">
        <f>"1997-09-19"</f>
        <v>1997-09-19</v>
      </c>
      <c r="J45" s="2" t="str">
        <f>"共青团员"</f>
        <v>共青团员</v>
      </c>
      <c r="K45" s="2" t="str">
        <f t="shared" si="8"/>
        <v>全日制本科</v>
      </c>
      <c r="L45" s="2" t="str">
        <f t="shared" si="9"/>
        <v>学士</v>
      </c>
      <c r="M45" s="2" t="str">
        <f>"湖南人文科技学院"</f>
        <v>湖南人文科技学院</v>
      </c>
      <c r="N45" s="2" t="str">
        <f>"计算机科学与技术"</f>
        <v>计算机科学与技术</v>
      </c>
      <c r="O45" s="2" t="str">
        <f>"105531201905001861"</f>
        <v>105531201905001861</v>
      </c>
      <c r="P45" s="2" t="str">
        <f>"1055342021004237"</f>
        <v>1055342021004237</v>
      </c>
      <c r="Q45" s="2" t="str">
        <f>"无"</f>
        <v>无</v>
      </c>
      <c r="R45" s="2" t="str">
        <f>"15.待业人员"</f>
        <v>15.待业人员</v>
      </c>
      <c r="S45" s="2" t="str">
        <f>"无"</f>
        <v>无</v>
      </c>
      <c r="T45" s="2" t="str">
        <f>"无"</f>
        <v>无</v>
      </c>
      <c r="U45" s="2" t="str">
        <f>"湖南省祁东县玉合街道玖隆村细风组"</f>
        <v>湖南省祁东县玉合街道玖隆村细风组</v>
      </c>
      <c r="V45" s="2" t="str">
        <f t="shared" si="10"/>
        <v>未婚</v>
      </c>
      <c r="W45" s="2" t="str">
        <f>"湖南人文科技学院"</f>
        <v>湖南人文科技学院</v>
      </c>
      <c r="X45" s="2" t="str">
        <f>""</f>
        <v/>
      </c>
      <c r="Y45" s="2" t="str">
        <f>"13007385459"</f>
        <v>13007385459</v>
      </c>
      <c r="Z45" s="2" t="str">
        <f>"421600"</f>
        <v>421600</v>
      </c>
      <c r="AA45" s="2" t="str">
        <f>"1834797033@qq.com"</f>
        <v>1834797033@qq.com</v>
      </c>
      <c r="AB45" s="2" t="str">
        <f>"2015-2019 在湖南人文科技学院学习"</f>
        <v>2015-2019 在湖南人文科技学院学习</v>
      </c>
      <c r="AC45" s="2" t="str">
        <f>"2018.6-2018.12 在湖南软件评测中心实习2018.12-2019.7 在湖南益丰医药有限公司担任java开发工程师"</f>
        <v>2018.6-2018.12 在湖南软件评测中心实习2018.12-2019.7 在湖南益丰医药有限公司担任java开发工程师</v>
      </c>
      <c r="AD45" s="2" t="str">
        <f>""</f>
        <v/>
      </c>
      <c r="AE45" s="2" t="str">
        <f>""</f>
        <v/>
      </c>
    </row>
    <row r="46" spans="1:31" s="1" customFormat="1" ht="24" customHeight="1">
      <c r="A46" s="2" t="str">
        <f>"10842022050915572582024"</f>
        <v>10842022050915572582024</v>
      </c>
      <c r="B46" s="2" t="s">
        <v>1</v>
      </c>
      <c r="C46" s="2" t="s">
        <v>3</v>
      </c>
      <c r="D46" s="2" t="str">
        <f>"陈露"</f>
        <v>陈露</v>
      </c>
      <c r="E46" s="2" t="str">
        <f>"女"</f>
        <v>女</v>
      </c>
      <c r="F46" s="2" t="str">
        <f>"43042619990510512X"</f>
        <v>43042619990510512X</v>
      </c>
      <c r="G46" s="2" t="str">
        <f>"18390846003"</f>
        <v>18390846003</v>
      </c>
      <c r="H46" s="2" t="str">
        <f>"汉"</f>
        <v>汉</v>
      </c>
      <c r="I46" s="2" t="str">
        <f>"1999-05-10"</f>
        <v>1999-05-10</v>
      </c>
      <c r="J46" s="2" t="str">
        <f>"群众"</f>
        <v>群众</v>
      </c>
      <c r="K46" s="2" t="str">
        <f t="shared" si="8"/>
        <v>全日制本科</v>
      </c>
      <c r="L46" s="2" t="str">
        <f t="shared" si="9"/>
        <v>学士</v>
      </c>
      <c r="M46" s="2" t="str">
        <f>"湖南涉外经济学院"</f>
        <v>湖南涉外经济学院</v>
      </c>
      <c r="N46" s="2" t="str">
        <f>"数字媒体"</f>
        <v>数字媒体</v>
      </c>
      <c r="O46" s="2" t="str">
        <f>"12031202105001246"</f>
        <v>12031202105001246</v>
      </c>
      <c r="P46" s="2" t="str">
        <f>"1230342021006129"</f>
        <v>1230342021006129</v>
      </c>
      <c r="Q46" s="2" t="str">
        <f>"小学美术"</f>
        <v>小学美术</v>
      </c>
      <c r="R46" s="2" t="str">
        <f>"8.其他经济组织社会组织人员(不含工人)"</f>
        <v>8.其他经济组织社会组织人员(不含工人)</v>
      </c>
      <c r="S46" s="2" t="str">
        <f>"2021432099061"</f>
        <v>2021432099061</v>
      </c>
      <c r="T46" s="2" t="str">
        <f>"2020-01-20"</f>
        <v>2020-01-20</v>
      </c>
      <c r="U46" s="2" t="str">
        <f>"湖南省衡阳市祁东县观音村"</f>
        <v>湖南省衡阳市祁东县观音村</v>
      </c>
      <c r="V46" s="2" t="str">
        <f t="shared" si="10"/>
        <v>未婚</v>
      </c>
      <c r="W46" s="2" t="str">
        <f>"衡阳人社"</f>
        <v>衡阳人社</v>
      </c>
      <c r="X46" s="2" t="str">
        <f>"精通设计类软件，有过计算机教学经验"</f>
        <v>精通设计类软件，有过计算机教学经验</v>
      </c>
      <c r="Y46" s="2" t="str">
        <f>"广东省广州市越秀区广州大道中海平阁199号管理处"</f>
        <v>广东省广州市越秀区广州大道中海平阁199号管理处</v>
      </c>
      <c r="Z46" s="2" t="str">
        <f>"420000"</f>
        <v>420000</v>
      </c>
      <c r="AA46" s="2" t="str">
        <f>"1319270647@qq.com"</f>
        <v>1319270647@qq.com</v>
      </c>
      <c r="AB46" s="2" t="str">
        <f>"2020年白云区金升小学语文老师兼班主任2021年东莞开放大学附属职业技术学院电商老师"</f>
        <v>2020年白云区金升小学语文老师兼班主任2021年东莞开放大学附属职业技术学院电商老师</v>
      </c>
      <c r="AC46" s="2" t="str">
        <f>""</f>
        <v/>
      </c>
      <c r="AD46" s="2" t="str">
        <f>""</f>
        <v/>
      </c>
      <c r="AE46" s="2" t="str">
        <f>""</f>
        <v/>
      </c>
    </row>
    <row r="47" spans="1:31" s="1" customFormat="1" ht="24" customHeight="1">
      <c r="A47" s="2" t="str">
        <f>"10842022050916525182179"</f>
        <v>10842022050916525182179</v>
      </c>
      <c r="B47" s="2" t="s">
        <v>1</v>
      </c>
      <c r="C47" s="2" t="s">
        <v>3</v>
      </c>
      <c r="D47" s="2" t="str">
        <f>"张山"</f>
        <v>张山</v>
      </c>
      <c r="E47" s="2" t="str">
        <f>"男"</f>
        <v>男</v>
      </c>
      <c r="F47" s="2" t="str">
        <f>"522225199702161216"</f>
        <v>522225199702161216</v>
      </c>
      <c r="G47" s="2" t="str">
        <f>"13255123373"</f>
        <v>13255123373</v>
      </c>
      <c r="H47" s="2" t="str">
        <f>"土家族"</f>
        <v>土家族</v>
      </c>
      <c r="I47" s="2" t="str">
        <f>"1997-02-16"</f>
        <v>1997-02-16</v>
      </c>
      <c r="J47" s="2" t="str">
        <f>"共青团员"</f>
        <v>共青团员</v>
      </c>
      <c r="K47" s="2" t="str">
        <f t="shared" si="8"/>
        <v>全日制本科</v>
      </c>
      <c r="L47" s="2" t="str">
        <f t="shared" si="9"/>
        <v>学士</v>
      </c>
      <c r="M47" s="2" t="str">
        <f>"常熟理工学院"</f>
        <v>常熟理工学院</v>
      </c>
      <c r="N47" s="2" t="str">
        <f>"计算机科学与技术（嵌入式培养）"</f>
        <v>计算机科学与技术（嵌入式培养）</v>
      </c>
      <c r="O47" s="2" t="str">
        <f>"103331202005005036"</f>
        <v>103331202005005036</v>
      </c>
      <c r="P47" s="2" t="str">
        <f>"1033342020005036"</f>
        <v>1033342020005036</v>
      </c>
      <c r="Q47" s="2" t="str">
        <f>"无"</f>
        <v>无</v>
      </c>
      <c r="R47" s="2" t="str">
        <f>"1.留学国人员"</f>
        <v>1.留学国人员</v>
      </c>
      <c r="S47" s="2" t="str">
        <f>"无"</f>
        <v>无</v>
      </c>
      <c r="T47" s="2" t="str">
        <f>"无"</f>
        <v>无</v>
      </c>
      <c r="U47" s="2" t="str">
        <f>"贵州省铜仁市"</f>
        <v>贵州省铜仁市</v>
      </c>
      <c r="V47" s="2" t="str">
        <f t="shared" si="10"/>
        <v>未婚</v>
      </c>
      <c r="W47" s="2" t="str">
        <f>"贵州省铜仁市思南县档案管理局"</f>
        <v>贵州省铜仁市思南县档案管理局</v>
      </c>
      <c r="X47" s="2" t="str">
        <f>""</f>
        <v/>
      </c>
      <c r="Y47" s="2" t="str">
        <f>"贵州省思南县关中坝街道大溪口村"</f>
        <v>贵州省思南县关中坝街道大溪口村</v>
      </c>
      <c r="Z47" s="2" t="str">
        <f>"565100"</f>
        <v>565100</v>
      </c>
      <c r="AA47" s="2" t="str">
        <f>"2561151961@qq.com"</f>
        <v>2561151961@qq.com</v>
      </c>
      <c r="AB47" s="2" t="str">
        <f>"2016-2020：就读于江苏省苏州市常熟理工学院2020.12-2021.07：于贵阳市贵州龙洋智享教育科技有限公司"</f>
        <v>2016-2020：就读于江苏省苏州市常熟理工学院2020.12-2021.07：于贵阳市贵州龙洋智享教育科技有限公司</v>
      </c>
      <c r="AC47" s="2" t="str">
        <f>"2020.12-2021.07：于贵阳市贵州龙洋智享教育科技有限公司 从事教育编程等计算机相关知识"</f>
        <v>2020.12-2021.07：于贵阳市贵州龙洋智享教育科技有限公司 从事教育编程等计算机相关知识</v>
      </c>
      <c r="AD47" s="2" t="str">
        <f>"计算机科学与技术专业，并取得相应的学位证书"</f>
        <v>计算机科学与技术专业，并取得相应的学位证书</v>
      </c>
      <c r="AE47" s="2" t="str">
        <f>"获得计算机软件著作权登记证书"</f>
        <v>获得计算机软件著作权登记证书</v>
      </c>
    </row>
    <row r="48" spans="1:31" s="1" customFormat="1" ht="24" customHeight="1">
      <c r="A48" s="2" t="str">
        <f>"10842022051011492383189"</f>
        <v>10842022051011492383189</v>
      </c>
      <c r="B48" s="2" t="s">
        <v>1</v>
      </c>
      <c r="C48" s="2" t="s">
        <v>3</v>
      </c>
      <c r="D48" s="2" t="str">
        <f>"陈莉"</f>
        <v>陈莉</v>
      </c>
      <c r="E48" s="2" t="str">
        <f>"女"</f>
        <v>女</v>
      </c>
      <c r="F48" s="2" t="str">
        <f>"431102199510228348"</f>
        <v>431102199510228348</v>
      </c>
      <c r="G48" s="2" t="str">
        <f>"19174613959"</f>
        <v>19174613959</v>
      </c>
      <c r="H48" s="2" t="str">
        <f>"汉"</f>
        <v>汉</v>
      </c>
      <c r="I48" s="2" t="str">
        <f>"1995-10-22"</f>
        <v>1995-10-22</v>
      </c>
      <c r="J48" s="2" t="str">
        <f>"共青团员"</f>
        <v>共青团员</v>
      </c>
      <c r="K48" s="2" t="str">
        <f t="shared" si="8"/>
        <v>全日制本科</v>
      </c>
      <c r="L48" s="2" t="str">
        <f t="shared" si="9"/>
        <v>学士</v>
      </c>
      <c r="M48" s="2" t="str">
        <f>"湘南学院"</f>
        <v>湘南学院</v>
      </c>
      <c r="N48" s="2" t="str">
        <f t="shared" ref="N48:N53" si="11">"计算机科学与技术"</f>
        <v>计算机科学与技术</v>
      </c>
      <c r="O48" s="2" t="str">
        <f>"105451201805006307"</f>
        <v>105451201805006307</v>
      </c>
      <c r="P48" s="2" t="str">
        <f>"1054542018003262"</f>
        <v>1054542018003262</v>
      </c>
      <c r="Q48" s="2" t="str">
        <f>"高中信息技术教师资格证"</f>
        <v>高中信息技术教师资格证</v>
      </c>
      <c r="R48" s="2" t="str">
        <f>"15.待业人员"</f>
        <v>15.待业人员</v>
      </c>
      <c r="S48" s="2" t="str">
        <f>"20214301442000575"</f>
        <v>20214301442000575</v>
      </c>
      <c r="T48" s="2" t="str">
        <f>"2021.7.28"</f>
        <v>2021.7.28</v>
      </c>
      <c r="U48" s="2" t="str">
        <f>"湖南永州"</f>
        <v>湖南永州</v>
      </c>
      <c r="V48" s="2" t="str">
        <f>"已婚"</f>
        <v>已婚</v>
      </c>
      <c r="W48" s="2" t="str">
        <f>"永州市零陵区人力资源管理服务中心"</f>
        <v>永州市零陵区人力资源管理服务中心</v>
      </c>
      <c r="X48" s="2" t="str">
        <f>""</f>
        <v/>
      </c>
      <c r="Y48" s="2" t="str">
        <f>"湖南省永州市零陵区富家桥镇车田村四组"</f>
        <v>湖南省永州市零陵区富家桥镇车田村四组</v>
      </c>
      <c r="Z48" s="2" t="str">
        <f>"425000"</f>
        <v>425000</v>
      </c>
      <c r="AA48" s="2" t="str">
        <f>"1085284648@qq.com"</f>
        <v>1085284648@qq.com</v>
      </c>
      <c r="AB48" s="2" t="str">
        <f>"2014－－2018   湘南学校  就读计算机科学与技术专业2018－－2019   深圳银兴科技有限公司  任职项目助理2019－－2020   深圳嘉丽有限公司   任职外贸助理2020－－至今   待业"</f>
        <v>2014－－2018   湘南学校  就读计算机科学与技术专业2018－－2019   深圳银兴科技有限公司  任职项目助理2019－－2020   深圳嘉丽有限公司   任职外贸助理2020－－至今   待业</v>
      </c>
      <c r="AC48" s="2" t="str">
        <f>""</f>
        <v/>
      </c>
      <c r="AD48" s="2" t="str">
        <f>""</f>
        <v/>
      </c>
      <c r="AE48" s="2" t="str">
        <f>""</f>
        <v/>
      </c>
    </row>
    <row r="49" spans="1:31" s="1" customFormat="1" ht="24" customHeight="1">
      <c r="A49" s="2" t="str">
        <f>"10842022051019415883738"</f>
        <v>10842022051019415883738</v>
      </c>
      <c r="B49" s="2" t="s">
        <v>1</v>
      </c>
      <c r="C49" s="2" t="s">
        <v>3</v>
      </c>
      <c r="D49" s="2" t="str">
        <f>"邓湘荣"</f>
        <v>邓湘荣</v>
      </c>
      <c r="E49" s="2" t="str">
        <f>"女"</f>
        <v>女</v>
      </c>
      <c r="F49" s="2" t="str">
        <f>"431121199609015544"</f>
        <v>431121199609015544</v>
      </c>
      <c r="G49" s="2" t="str">
        <f>"13272233938"</f>
        <v>13272233938</v>
      </c>
      <c r="H49" s="2" t="str">
        <f>"汉"</f>
        <v>汉</v>
      </c>
      <c r="I49" s="2" t="str">
        <f>"1996-09-01"</f>
        <v>1996-09-01</v>
      </c>
      <c r="J49" s="2" t="str">
        <f>"共青团员"</f>
        <v>共青团员</v>
      </c>
      <c r="K49" s="2" t="str">
        <f t="shared" si="8"/>
        <v>全日制本科</v>
      </c>
      <c r="L49" s="2" t="str">
        <f t="shared" si="9"/>
        <v>学士</v>
      </c>
      <c r="M49" s="2" t="str">
        <f>"湖南警察学院"</f>
        <v>湖南警察学院</v>
      </c>
      <c r="N49" s="2" t="str">
        <f t="shared" si="11"/>
        <v>计算机科学与技术</v>
      </c>
      <c r="O49" s="2" t="str">
        <f>"115341202105001401"</f>
        <v>115341202105001401</v>
      </c>
      <c r="P49" s="2" t="str">
        <f>"1153442021001401"</f>
        <v>1153442021001401</v>
      </c>
      <c r="Q49" s="2" t="str">
        <f>"高中信息技术"</f>
        <v>高中信息技术</v>
      </c>
      <c r="R49" s="2" t="str">
        <f>"4.事业单位职员(不含工人)"</f>
        <v>4.事业单位职员(不含工人)</v>
      </c>
      <c r="S49" s="2" t="str">
        <f>"20214300242008065"</f>
        <v>20214300242008065</v>
      </c>
      <c r="T49" s="2" t="str">
        <f>"2021-7-27"</f>
        <v>2021-7-27</v>
      </c>
      <c r="U49" s="2" t="str">
        <f>"湖南祁阳"</f>
        <v>湖南祁阳</v>
      </c>
      <c r="V49" s="2" t="str">
        <f t="shared" ref="V49:V55" si="12">"未婚"</f>
        <v>未婚</v>
      </c>
      <c r="W49" s="2" t="str">
        <f>"冷水滩区教育局"</f>
        <v>冷水滩区教育局</v>
      </c>
      <c r="X49" s="2" t="str">
        <f>""</f>
        <v/>
      </c>
      <c r="Y49" s="2" t="str">
        <f>"湖南省祁阳市羊角塘镇雪里红村"</f>
        <v>湖南省祁阳市羊角塘镇雪里红村</v>
      </c>
      <c r="Z49" s="2" t="str">
        <f>"426100"</f>
        <v>426100</v>
      </c>
      <c r="AA49" s="2" t="str">
        <f>"2313122149@qq.com"</f>
        <v>2313122149@qq.com</v>
      </c>
      <c r="AB49" s="2" t="str">
        <f>"2014年9月-2017年6月于祁阳县职业中专读高中2017年9月-2021年6月于湖南警察学院读大学"</f>
        <v>2014年9月-2017年6月于祁阳县职业中专读高中2017年9月-2021年6月于湖南警察学院读大学</v>
      </c>
      <c r="AC49" s="2" t="str">
        <f>""</f>
        <v/>
      </c>
      <c r="AD49" s="2" t="str">
        <f>""</f>
        <v/>
      </c>
      <c r="AE49" s="2" t="str">
        <f>""</f>
        <v/>
      </c>
    </row>
    <row r="50" spans="1:31" s="1" customFormat="1" ht="24" customHeight="1">
      <c r="A50" s="2" t="str">
        <f>"10842022051112442484300"</f>
        <v>10842022051112442484300</v>
      </c>
      <c r="B50" s="2" t="s">
        <v>1</v>
      </c>
      <c r="C50" s="2" t="s">
        <v>3</v>
      </c>
      <c r="D50" s="2" t="str">
        <f>"张文霞"</f>
        <v>张文霞</v>
      </c>
      <c r="E50" s="2" t="str">
        <f>"女"</f>
        <v>女</v>
      </c>
      <c r="F50" s="2" t="str">
        <f>"430821199712133220"</f>
        <v>430821199712133220</v>
      </c>
      <c r="G50" s="2" t="str">
        <f>"18100734521"</f>
        <v>18100734521</v>
      </c>
      <c r="H50" s="2" t="str">
        <f>"土家族"</f>
        <v>土家族</v>
      </c>
      <c r="I50" s="2" t="str">
        <f>"1997-12-13"</f>
        <v>1997-12-13</v>
      </c>
      <c r="J50" s="2" t="str">
        <f>"党员"</f>
        <v>党员</v>
      </c>
      <c r="K50" s="2" t="str">
        <f t="shared" si="8"/>
        <v>全日制本科</v>
      </c>
      <c r="L50" s="2" t="str">
        <f t="shared" si="9"/>
        <v>学士</v>
      </c>
      <c r="M50" s="2" t="str">
        <f>"湖南涉外经济学院"</f>
        <v>湖南涉外经济学院</v>
      </c>
      <c r="N50" s="2" t="str">
        <f t="shared" si="11"/>
        <v>计算机科学与技术</v>
      </c>
      <c r="O50" s="2" t="str">
        <f>"123031202105006380"</f>
        <v>123031202105006380</v>
      </c>
      <c r="P50" s="2" t="str">
        <f>"1230342021000995"</f>
        <v>1230342021000995</v>
      </c>
      <c r="Q50" s="2" t="str">
        <f>"教师资格证"</f>
        <v>教师资格证</v>
      </c>
      <c r="R50" s="2" t="str">
        <f>"15.待业人员"</f>
        <v>15.待业人员</v>
      </c>
      <c r="S50" s="2" t="str">
        <f>"2021436144163"</f>
        <v>2021436144163</v>
      </c>
      <c r="T50" s="2" t="str">
        <f>"2022-1-20"</f>
        <v>2022-1-20</v>
      </c>
      <c r="U50" s="2" t="str">
        <f>"湖南张家界"</f>
        <v>湖南张家界</v>
      </c>
      <c r="V50" s="2" t="str">
        <f t="shared" si="12"/>
        <v>未婚</v>
      </c>
      <c r="W50" s="2" t="str">
        <f>"湖南涉外经济学院"</f>
        <v>湖南涉外经济学院</v>
      </c>
      <c r="X50" s="2" t="str">
        <f>""</f>
        <v/>
      </c>
      <c r="Y50" s="2" t="str">
        <f>"湖南省长沙市雨花区香樟路592号"</f>
        <v>湖南省长沙市雨花区香樟路592号</v>
      </c>
      <c r="Z50" s="2" t="str">
        <f>"410018"</f>
        <v>410018</v>
      </c>
      <c r="AA50" s="2" t="str">
        <f>"2605699013@qq.com"</f>
        <v>2605699013@qq.com</v>
      </c>
      <c r="AB50" s="2" t="str">
        <f>"2016.09-2019.06 在湖南司法警官职业学院就读2019.06-2021.09 在湖南涉外经济学院就读2021.08-至今 在长沙市公安局雨花分局第二治安管理大队工作"</f>
        <v>2016.09-2019.06 在湖南司法警官职业学院就读2019.06-2021.09 在湖南涉外经济学院就读2021.08-至今 在长沙市公安局雨花分局第二治安管理大队工作</v>
      </c>
      <c r="AC50" s="2" t="str">
        <f>""</f>
        <v/>
      </c>
      <c r="AD50" s="2" t="str">
        <f>""</f>
        <v/>
      </c>
      <c r="AE50" s="2" t="str">
        <f>""</f>
        <v/>
      </c>
    </row>
    <row r="51" spans="1:31" s="1" customFormat="1" ht="24" customHeight="1">
      <c r="A51" s="2" t="str">
        <f>"10842022051118132884655"</f>
        <v>10842022051118132884655</v>
      </c>
      <c r="B51" s="2" t="s">
        <v>1</v>
      </c>
      <c r="C51" s="2" t="s">
        <v>3</v>
      </c>
      <c r="D51" s="2" t="str">
        <f>"郑丽丽"</f>
        <v>郑丽丽</v>
      </c>
      <c r="E51" s="2" t="str">
        <f>"女"</f>
        <v>女</v>
      </c>
      <c r="F51" s="2" t="str">
        <f>"430481199508112347"</f>
        <v>430481199508112347</v>
      </c>
      <c r="G51" s="2" t="str">
        <f>"13247643567"</f>
        <v>13247643567</v>
      </c>
      <c r="H51" s="2" t="str">
        <f>"汉族"</f>
        <v>汉族</v>
      </c>
      <c r="I51" s="2" t="str">
        <f>"1995-08-11"</f>
        <v>1995-08-11</v>
      </c>
      <c r="J51" s="2" t="str">
        <f>"共青团员"</f>
        <v>共青团员</v>
      </c>
      <c r="K51" s="2" t="str">
        <f t="shared" si="8"/>
        <v>全日制本科</v>
      </c>
      <c r="L51" s="2" t="str">
        <f t="shared" si="9"/>
        <v>学士</v>
      </c>
      <c r="M51" s="2" t="str">
        <f>"湖南理工学院"</f>
        <v>湖南理工学院</v>
      </c>
      <c r="N51" s="2" t="str">
        <f t="shared" si="11"/>
        <v>计算机科学与技术</v>
      </c>
      <c r="O51" s="2" t="str">
        <f>"105431201705002142"</f>
        <v>105431201705002142</v>
      </c>
      <c r="P51" s="2" t="str">
        <f>"1054342017002271"</f>
        <v>1054342017002271</v>
      </c>
      <c r="Q51" s="2" t="str">
        <f>"计算机技术与软件专业技术资格（水平）考试初级信息技术处理员"</f>
        <v>计算机技术与软件专业技术资格（水平）考试初级信息技术处理员</v>
      </c>
      <c r="R51" s="2" t="str">
        <f>"15.待业人员"</f>
        <v>15.待业人员</v>
      </c>
      <c r="S51" s="2" t="str">
        <f>"16258430205"</f>
        <v>16258430205</v>
      </c>
      <c r="T51" s="2" t="str">
        <f>"2016-11-18"</f>
        <v>2016-11-18</v>
      </c>
      <c r="U51" s="2" t="str">
        <f>"湖南省衡阳市耒阳市马水乡合江村4组"</f>
        <v>湖南省衡阳市耒阳市马水乡合江村4组</v>
      </c>
      <c r="V51" s="2" t="str">
        <f t="shared" si="12"/>
        <v>未婚</v>
      </c>
      <c r="W51" s="2" t="str">
        <f>"湖南省衡阳市毕业研究生大中专毕业生就业管理服务中心"</f>
        <v>湖南省衡阳市毕业研究生大中专毕业生就业管理服务中心</v>
      </c>
      <c r="X51" s="2" t="str">
        <f>"文笔不错"</f>
        <v>文笔不错</v>
      </c>
      <c r="Y51" s="2" t="str">
        <f>"湖南省长沙市雨花区雨花亭街道韶山南路239号路桥集团家属区"</f>
        <v>湖南省长沙市雨花区雨花亭街道韶山南路239号路桥集团家属区</v>
      </c>
      <c r="Z51" s="2" t="str">
        <f>"410018"</f>
        <v>410018</v>
      </c>
      <c r="AA51" s="2" t="str">
        <f>"betacheng86@163.com"</f>
        <v>betacheng86@163.com</v>
      </c>
      <c r="AB51" s="2" t="str">
        <f>"201009-201306，就读于耒阳市第二中学，高中；201309-201706，就读于湖南理工学院，大学本科，计算机科学与技术专业。201707-201803，就职于东莞东兴商标织绣有限公司，系统支持岗位；201805-201902，就职于深圳深度沟通营销咨询有限公司，数据分析岗位。"</f>
        <v>201009-201306，就读于耒阳市第二中学，高中；201309-201706，就读于湖南理工学院，大学本科，计算机科学与技术专业。201707-201803，就职于东莞东兴商标织绣有限公司，系统支持岗位；201805-201902，就职于深圳深度沟通营销咨询有限公司，数据分析岗位。</v>
      </c>
      <c r="AC51" s="2" t="str">
        <f>"201707-201803，就职于东莞东兴商标织绣有限公司，系统支持岗位；201805-201902，就职于深圳深度沟通营销咨询有限公司，数据分析岗位。"</f>
        <v>201707-201803，就职于东莞东兴商标织绣有限公司，系统支持岗位；201805-201902，就职于深圳深度沟通营销咨询有限公司，数据分析岗位。</v>
      </c>
      <c r="AD51" s="2" t="str">
        <f>""</f>
        <v/>
      </c>
      <c r="AE51" s="2" t="str">
        <f>""</f>
        <v/>
      </c>
    </row>
    <row r="52" spans="1:31" s="1" customFormat="1" ht="24" customHeight="1">
      <c r="A52" s="2" t="str">
        <f>"10842022051121230084852"</f>
        <v>10842022051121230084852</v>
      </c>
      <c r="B52" s="2" t="s">
        <v>1</v>
      </c>
      <c r="C52" s="2" t="s">
        <v>3</v>
      </c>
      <c r="D52" s="2" t="str">
        <f>"涂文韬"</f>
        <v>涂文韬</v>
      </c>
      <c r="E52" s="2" t="str">
        <f>"男"</f>
        <v>男</v>
      </c>
      <c r="F52" s="2" t="str">
        <f>"430421199703200012"</f>
        <v>430421199703200012</v>
      </c>
      <c r="G52" s="2" t="str">
        <f>"13469125679"</f>
        <v>13469125679</v>
      </c>
      <c r="H52" s="2" t="str">
        <f>"汉"</f>
        <v>汉</v>
      </c>
      <c r="I52" s="2" t="str">
        <f>"1997-03-20"</f>
        <v>1997-03-20</v>
      </c>
      <c r="J52" s="2" t="str">
        <f>"群众"</f>
        <v>群众</v>
      </c>
      <c r="K52" s="2" t="str">
        <f t="shared" si="8"/>
        <v>全日制本科</v>
      </c>
      <c r="L52" s="2" t="str">
        <f t="shared" si="9"/>
        <v>学士</v>
      </c>
      <c r="M52" s="2" t="str">
        <f>"湖南工程学院"</f>
        <v>湖南工程学院</v>
      </c>
      <c r="N52" s="2" t="str">
        <f t="shared" si="11"/>
        <v>计算机科学与技术</v>
      </c>
      <c r="O52" s="2" t="str">
        <f>"113421201905352217"</f>
        <v>113421201905352217</v>
      </c>
      <c r="P52" s="2" t="str">
        <f>"1134242019002229"</f>
        <v>1134242019002229</v>
      </c>
      <c r="Q52" s="2" t="str">
        <f>"无"</f>
        <v>无</v>
      </c>
      <c r="R52" s="2" t="str">
        <f>"4.事业单位职员(不含工人)"</f>
        <v>4.事业单位职员(不含工人)</v>
      </c>
      <c r="S52" s="2" t="str">
        <f>"无"</f>
        <v>无</v>
      </c>
      <c r="T52" s="2" t="str">
        <f>"无"</f>
        <v>无</v>
      </c>
      <c r="U52" s="2" t="str">
        <f>"湖南省衡阳县"</f>
        <v>湖南省衡阳县</v>
      </c>
      <c r="V52" s="2" t="str">
        <f t="shared" si="12"/>
        <v>未婚</v>
      </c>
      <c r="W52" s="2" t="str">
        <f>"湖南省衡阳县人社局"</f>
        <v>湖南省衡阳县人社局</v>
      </c>
      <c r="X52" s="2" t="str">
        <f>"篮球、绘画"</f>
        <v>篮球、绘画</v>
      </c>
      <c r="Y52" s="2" t="str">
        <f>"湖南省衡阳县西渡镇新建路19号1栋204"</f>
        <v>湖南省衡阳县西渡镇新建路19号1栋204</v>
      </c>
      <c r="Z52" s="2" t="str">
        <f>"421200"</f>
        <v>421200</v>
      </c>
      <c r="AA52" s="2" t="str">
        <f>"965397294@qq.com"</f>
        <v>965397294@qq.com</v>
      </c>
      <c r="AB52" s="2" t="str">
        <f>"201209—201506 衡阳县一中读初中201509—201906 湖南工程学院读大学201907—201912 斗鱼全职主播202001—202010 打印店工作202011—至今   衡阳县网上政务服务中心工作"</f>
        <v>201209—201506 衡阳县一中读初中201509—201906 湖南工程学院读大学201907—201912 斗鱼全职主播202001—202010 打印店工作202011—至今   衡阳县网上政务服务中心工作</v>
      </c>
      <c r="AC52" s="2" t="str">
        <f>""</f>
        <v/>
      </c>
      <c r="AD52" s="2" t="str">
        <f>""</f>
        <v/>
      </c>
      <c r="AE52" s="2" t="str">
        <f>""</f>
        <v/>
      </c>
    </row>
    <row r="53" spans="1:31" s="1" customFormat="1" ht="24" customHeight="1">
      <c r="A53" s="2" t="str">
        <f>"10842022051122321484916"</f>
        <v>10842022051122321484916</v>
      </c>
      <c r="B53" s="2" t="s">
        <v>1</v>
      </c>
      <c r="C53" s="2" t="s">
        <v>3</v>
      </c>
      <c r="D53" s="2" t="str">
        <f>"龙奕如"</f>
        <v>龙奕如</v>
      </c>
      <c r="E53" s="2" t="str">
        <f>"女"</f>
        <v>女</v>
      </c>
      <c r="F53" s="2" t="str">
        <f>"430426200107300022"</f>
        <v>430426200107300022</v>
      </c>
      <c r="G53" s="2" t="str">
        <f>"18627342218"</f>
        <v>18627342218</v>
      </c>
      <c r="H53" s="2" t="str">
        <f>"汉族"</f>
        <v>汉族</v>
      </c>
      <c r="I53" s="2" t="str">
        <f>"2001-07-30"</f>
        <v>2001-07-30</v>
      </c>
      <c r="J53" s="2" t="str">
        <f>"党员"</f>
        <v>党员</v>
      </c>
      <c r="K53" s="2" t="str">
        <f t="shared" si="8"/>
        <v>全日制本科</v>
      </c>
      <c r="L53" s="2" t="str">
        <f t="shared" si="9"/>
        <v>学士</v>
      </c>
      <c r="M53" s="2" t="str">
        <f>"衡阳师范学院"</f>
        <v>衡阳师范学院</v>
      </c>
      <c r="N53" s="2" t="str">
        <f t="shared" si="11"/>
        <v>计算机科学与技术</v>
      </c>
      <c r="O53" s="2" t="str">
        <f>"无（应届毕业生）"</f>
        <v>无（应届毕业生）</v>
      </c>
      <c r="P53" s="2" t="str">
        <f>"无（应届毕业生）"</f>
        <v>无（应届毕业生）</v>
      </c>
      <c r="Q53" s="2" t="str">
        <f>"无"</f>
        <v>无</v>
      </c>
      <c r="R53" s="2" t="str">
        <f>"8.其他经济组织社会组织人员(不含工人)"</f>
        <v>8.其他经济组织社会组织人员(不含工人)</v>
      </c>
      <c r="S53" s="2" t="str">
        <f>"无"</f>
        <v>无</v>
      </c>
      <c r="T53" s="2" t="str">
        <f>"无"</f>
        <v>无</v>
      </c>
      <c r="U53" s="2" t="str">
        <f>"湖南祁东"</f>
        <v>湖南祁东</v>
      </c>
      <c r="V53" s="2" t="str">
        <f t="shared" si="12"/>
        <v>未婚</v>
      </c>
      <c r="W53" s="2" t="str">
        <f>"人事代理保管"</f>
        <v>人事代理保管</v>
      </c>
      <c r="X53" s="2" t="str">
        <f>""</f>
        <v/>
      </c>
      <c r="Y53" s="2" t="str">
        <f>"湖南省衡阳市祁东县湘桂路677号爱家日杂店"</f>
        <v>湖南省衡阳市祁东县湘桂路677号爱家日杂店</v>
      </c>
      <c r="Z53" s="2" t="str">
        <f>"421600"</f>
        <v>421600</v>
      </c>
      <c r="AA53" s="2" t="str">
        <f>"1293955138@qq.com"</f>
        <v>1293955138@qq.com</v>
      </c>
      <c r="AB53" s="2" t="str">
        <f>"衡阳师范学院全日制四年本科"</f>
        <v>衡阳师范学院全日制四年本科</v>
      </c>
      <c r="AC53" s="2" t="str">
        <f>""</f>
        <v/>
      </c>
      <c r="AD53" s="2" t="str">
        <f>""</f>
        <v/>
      </c>
      <c r="AE53" s="2" t="str">
        <f>"计算机三级数据库证书"</f>
        <v>计算机三级数据库证书</v>
      </c>
    </row>
    <row r="54" spans="1:31" s="1" customFormat="1" ht="24" customHeight="1">
      <c r="A54" s="2" t="str">
        <f>"10842022051208453785016"</f>
        <v>10842022051208453785016</v>
      </c>
      <c r="B54" s="2" t="s">
        <v>1</v>
      </c>
      <c r="C54" s="2" t="s">
        <v>3</v>
      </c>
      <c r="D54" s="2" t="str">
        <f>"李雪梅"</f>
        <v>李雪梅</v>
      </c>
      <c r="E54" s="2" t="str">
        <f>"女"</f>
        <v>女</v>
      </c>
      <c r="F54" s="2" t="str">
        <f>"430426200201179708"</f>
        <v>430426200201179708</v>
      </c>
      <c r="G54" s="2" t="str">
        <f>"17308406414"</f>
        <v>17308406414</v>
      </c>
      <c r="H54" s="2" t="str">
        <f>"汉"</f>
        <v>汉</v>
      </c>
      <c r="I54" s="2" t="str">
        <f>"2002-01-17"</f>
        <v>2002-01-17</v>
      </c>
      <c r="J54" s="2" t="str">
        <f>"共青团员"</f>
        <v>共青团员</v>
      </c>
      <c r="K54" s="2" t="str">
        <f t="shared" si="8"/>
        <v>全日制本科</v>
      </c>
      <c r="L54" s="2" t="str">
        <f t="shared" si="9"/>
        <v>学士</v>
      </c>
      <c r="M54" s="2" t="str">
        <f>"衡阳师范学院"</f>
        <v>衡阳师范学院</v>
      </c>
      <c r="N54" s="2" t="str">
        <f>"计算机科学与技术（师范）"</f>
        <v>计算机科学与技术（师范）</v>
      </c>
      <c r="O54" s="2" t="str">
        <f>"无"</f>
        <v>无</v>
      </c>
      <c r="P54" s="2" t="str">
        <f>"无"</f>
        <v>无</v>
      </c>
      <c r="Q54" s="2" t="str">
        <f>"高中信息技术"</f>
        <v>高中信息技术</v>
      </c>
      <c r="R54" s="2" t="str">
        <f>"15.待业人员"</f>
        <v>15.待业人员</v>
      </c>
      <c r="S54" s="2" t="str">
        <f>"20221054634340278"</f>
        <v>20221054634340278</v>
      </c>
      <c r="T54" s="2" t="str">
        <f>"2022-6-30"</f>
        <v>2022-6-30</v>
      </c>
      <c r="U54" s="2" t="str">
        <f>"湖南省邵东市双凤乡水井亭村"</f>
        <v>湖南省邵东市双凤乡水井亭村</v>
      </c>
      <c r="V54" s="2" t="str">
        <f t="shared" si="12"/>
        <v>未婚</v>
      </c>
      <c r="W54" s="2" t="str">
        <f>"衡阳师范学院"</f>
        <v>衡阳师范学院</v>
      </c>
      <c r="X54" s="2" t="str">
        <f>""</f>
        <v/>
      </c>
      <c r="Y54" s="2" t="str">
        <f>"湖南省邵东市双凤乡水井亭村"</f>
        <v>湖南省邵东市双凤乡水井亭村</v>
      </c>
      <c r="Z54" s="2" t="str">
        <f>"422800"</f>
        <v>422800</v>
      </c>
      <c r="AA54" s="2" t="str">
        <f>"1076464749@qq.com"</f>
        <v>1076464749@qq.com</v>
      </c>
      <c r="AB54" s="2" t="str">
        <f>"2015.9-2018.6 就读于湖南省衡阳市祁东县祁东二中2018.9-至今 就读于湖南省衡阳市衡阳师范学院"</f>
        <v>2015.9-2018.6 就读于湖南省衡阳市祁东县祁东二中2018.9-至今 就读于湖南省衡阳市衡阳师范学院</v>
      </c>
      <c r="AC54" s="2" t="str">
        <f>""</f>
        <v/>
      </c>
      <c r="AD54" s="2" t="str">
        <f>""</f>
        <v/>
      </c>
      <c r="AE54" s="2" t="str">
        <f>""</f>
        <v/>
      </c>
    </row>
    <row r="55" spans="1:31" s="1" customFormat="1" ht="24" customHeight="1">
      <c r="A55" s="2" t="str">
        <f>"10842022051213361985359"</f>
        <v>10842022051213361985359</v>
      </c>
      <c r="B55" s="2" t="s">
        <v>1</v>
      </c>
      <c r="C55" s="2" t="s">
        <v>3</v>
      </c>
      <c r="D55" s="2" t="str">
        <f>"曾蓉姣"</f>
        <v>曾蓉姣</v>
      </c>
      <c r="E55" s="2" t="str">
        <f>"女"</f>
        <v>女</v>
      </c>
      <c r="F55" s="2" t="str">
        <f>"430426199408207723"</f>
        <v>430426199408207723</v>
      </c>
      <c r="G55" s="2" t="str">
        <f>"15211367204"</f>
        <v>15211367204</v>
      </c>
      <c r="H55" s="2" t="str">
        <f>"汉"</f>
        <v>汉</v>
      </c>
      <c r="I55" s="2" t="str">
        <f>"1994-08-20"</f>
        <v>1994-08-20</v>
      </c>
      <c r="J55" s="2" t="str">
        <f>"群众"</f>
        <v>群众</v>
      </c>
      <c r="K55" s="2" t="str">
        <f t="shared" si="8"/>
        <v>全日制本科</v>
      </c>
      <c r="L55" s="2" t="str">
        <f t="shared" si="9"/>
        <v>学士</v>
      </c>
      <c r="M55" s="2" t="str">
        <f>"湖南警察学院"</f>
        <v>湖南警察学院</v>
      </c>
      <c r="N55" s="2" t="str">
        <f>"计算机科学与技术"</f>
        <v>计算机科学与技术</v>
      </c>
      <c r="O55" s="2" t="str">
        <f>"115341201605001315"</f>
        <v>115341201605001315</v>
      </c>
      <c r="P55" s="2" t="str">
        <f>"1153442016001291"</f>
        <v>1153442016001291</v>
      </c>
      <c r="Q55" s="2" t="str">
        <f>"无"</f>
        <v>无</v>
      </c>
      <c r="R55" s="2" t="str">
        <f>"8.其他经济组织社会组织人员(不含工人)"</f>
        <v>8.其他经济组织社会组织人员(不含工人)</v>
      </c>
      <c r="S55" s="2" t="str">
        <f>"无"</f>
        <v>无</v>
      </c>
      <c r="T55" s="2" t="str">
        <f>"无"</f>
        <v>无</v>
      </c>
      <c r="U55" s="2" t="str">
        <f>"湖南衡阳"</f>
        <v>湖南衡阳</v>
      </c>
      <c r="V55" s="2" t="str">
        <f t="shared" si="12"/>
        <v>未婚</v>
      </c>
      <c r="W55" s="2" t="str">
        <f>"衡阳市祁东人力资源就业服务中心"</f>
        <v>衡阳市祁东人力资源就业服务中心</v>
      </c>
      <c r="X55" s="2" t="str">
        <f>""</f>
        <v/>
      </c>
      <c r="Y55" s="2" t="str">
        <f>"湖南省衡阳市祁东县洪桥镇育英实验学校"</f>
        <v>湖南省衡阳市祁东县洪桥镇育英实验学校</v>
      </c>
      <c r="Z55" s="2" t="str">
        <f>"421600"</f>
        <v>421600</v>
      </c>
      <c r="AA55" s="2" t="str">
        <f>"1120805736@qq.com"</f>
        <v>1120805736@qq.com</v>
      </c>
      <c r="AB55" s="2" t="str">
        <f>"200909-201206学习于祁东一中201209-201606学习于湖南警察学院201709--至今工作于育英实验学校"</f>
        <v>200909-201206学习于祁东一中201209-201606学习于湖南警察学院201709--至今工作于育英实验学校</v>
      </c>
      <c r="AC55" s="2" t="str">
        <f>""</f>
        <v/>
      </c>
      <c r="AD55" s="2" t="str">
        <f>""</f>
        <v/>
      </c>
      <c r="AE55" s="2" t="str">
        <f>""</f>
        <v/>
      </c>
    </row>
    <row r="56" spans="1:31" s="1" customFormat="1" ht="24" customHeight="1">
      <c r="A56" s="2" t="str">
        <f>"10842022050815565279600"</f>
        <v>10842022050815565279600</v>
      </c>
      <c r="B56" s="2" t="s">
        <v>1</v>
      </c>
      <c r="C56" s="2" t="s">
        <v>2</v>
      </c>
      <c r="D56" s="2" t="str">
        <f>"刘湘玲"</f>
        <v>刘湘玲</v>
      </c>
      <c r="E56" s="2" t="str">
        <f>"女"</f>
        <v>女</v>
      </c>
      <c r="F56" s="2" t="str">
        <f>"430426199803224988"</f>
        <v>430426199803224988</v>
      </c>
      <c r="G56" s="2" t="str">
        <f>"15767587862"</f>
        <v>15767587862</v>
      </c>
      <c r="H56" s="2" t="str">
        <f>"汉族"</f>
        <v>汉族</v>
      </c>
      <c r="I56" s="2" t="str">
        <f>"1998-03-22"</f>
        <v>1998-03-22</v>
      </c>
      <c r="J56" s="2" t="str">
        <f>"共青团员"</f>
        <v>共青团员</v>
      </c>
      <c r="K56" s="2" t="str">
        <f t="shared" si="8"/>
        <v>全日制本科</v>
      </c>
      <c r="L56" s="2" t="str">
        <f t="shared" si="9"/>
        <v>学士</v>
      </c>
      <c r="M56" s="2" t="str">
        <f>"岭南师范学院"</f>
        <v>岭南师范学院</v>
      </c>
      <c r="N56" s="2" t="str">
        <f t="shared" ref="N56:N63" si="13">"汽车服务工程"</f>
        <v>汽车服务工程</v>
      </c>
      <c r="O56" s="2" t="str">
        <f>"105791202005001240"</f>
        <v>105791202005001240</v>
      </c>
      <c r="P56" s="2" t="str">
        <f>"1057942020001240"</f>
        <v>1057942020001240</v>
      </c>
      <c r="Q56" s="2" t="str">
        <f>"无"</f>
        <v>无</v>
      </c>
      <c r="R56" s="2" t="str">
        <f>"1.留学国人员"</f>
        <v>1.留学国人员</v>
      </c>
      <c r="S56" s="2" t="str">
        <f>"无"</f>
        <v>无</v>
      </c>
      <c r="T56" s="2" t="str">
        <f>"无"</f>
        <v>无</v>
      </c>
      <c r="U56" s="2" t="str">
        <f>"广东省惠州市"</f>
        <v>广东省惠州市</v>
      </c>
      <c r="V56" s="2" t="str">
        <f>"已婚"</f>
        <v>已婚</v>
      </c>
      <c r="W56" s="2" t="str">
        <f>"惠州市惠城区人才交流服务中心"</f>
        <v>惠州市惠城区人才交流服务中心</v>
      </c>
      <c r="X56" s="2" t="str">
        <f>""</f>
        <v/>
      </c>
      <c r="Y56" s="2" t="str">
        <f>"湖南省衡阳市祁东县洪桥镇石山湾78号"</f>
        <v>湖南省衡阳市祁东县洪桥镇石山湾78号</v>
      </c>
      <c r="Z56" s="2" t="str">
        <f>"421621"</f>
        <v>421621</v>
      </c>
      <c r="AA56" s="2" t="str">
        <f>"935921271@qq.com"</f>
        <v>935921271@qq.com</v>
      </c>
      <c r="AB56" s="2" t="str">
        <f>"2013.09-2016.07 中山市龙山中学；2016.09-2020.06  岭南师范学院-机电工程学院  汽车服务工程专业；2020.05-2020.07  东莞南华职业技术学校  汽修部实习老师；2020.08-2021.07  韶关市育威中等学校  汽车教研组老师"</f>
        <v>2013.09-2016.07 中山市龙山中学；2016.09-2020.06  岭南师范学院-机电工程学院  汽车服务工程专业；2020.05-2020.07  东莞南华职业技术学校  汽修部实习老师；2020.08-2021.07  韶关市育威中等学校  汽车教研组老师</v>
      </c>
      <c r="AC56" s="2" t="str">
        <f>"2019.10-2019.11 佛山市勒流职业技术学校 汽修部实习老师；2020.05-2020.07  东莞南华职业技术学校  汽修部实习老师；2020.08-2021.07  韶关市育威中等学校  汽车教研组老师"</f>
        <v>2019.10-2019.11 佛山市勒流职业技术学校 汽修部实习老师；2020.05-2020.07  东莞南华职业技术学校  汽修部实习老师；2020.08-2021.07  韶关市育威中等学校  汽车教研组老师</v>
      </c>
      <c r="AD56" s="2" t="str">
        <f>"普通话二级乙等、心理C证、汽车维修高级工证"</f>
        <v>普通话二级乙等、心理C证、汽车维修高级工证</v>
      </c>
      <c r="AE56" s="2" t="str">
        <f>""</f>
        <v/>
      </c>
    </row>
    <row r="57" spans="1:31" s="1" customFormat="1" ht="24" customHeight="1">
      <c r="A57" s="2" t="str">
        <f>"10842022050909191480781"</f>
        <v>10842022050909191480781</v>
      </c>
      <c r="B57" s="2" t="s">
        <v>1</v>
      </c>
      <c r="C57" s="2" t="s">
        <v>2</v>
      </c>
      <c r="D57" s="2" t="str">
        <f>"陈献菁"</f>
        <v>陈献菁</v>
      </c>
      <c r="E57" s="2" t="str">
        <f>"男"</f>
        <v>男</v>
      </c>
      <c r="F57" s="2" t="str">
        <f>"431081199910238051"</f>
        <v>431081199910238051</v>
      </c>
      <c r="G57" s="2" t="str">
        <f>"13077071003"</f>
        <v>13077071003</v>
      </c>
      <c r="H57" s="2" t="str">
        <f t="shared" ref="H57:H68" si="14">"汉"</f>
        <v>汉</v>
      </c>
      <c r="I57" s="2" t="str">
        <f>"1999-10-23"</f>
        <v>1999-10-23</v>
      </c>
      <c r="J57" s="2" t="str">
        <f>"共青团员"</f>
        <v>共青团员</v>
      </c>
      <c r="K57" s="2" t="str">
        <f t="shared" si="8"/>
        <v>全日制本科</v>
      </c>
      <c r="L57" s="2" t="str">
        <f t="shared" si="9"/>
        <v>学士</v>
      </c>
      <c r="M57" s="2" t="str">
        <f>"湖南农业大学"</f>
        <v>湖南农业大学</v>
      </c>
      <c r="N57" s="2" t="str">
        <f t="shared" si="13"/>
        <v>汽车服务工程</v>
      </c>
      <c r="O57" s="2" t="str">
        <f>"无"</f>
        <v>无</v>
      </c>
      <c r="P57" s="2" t="str">
        <f>"无"</f>
        <v>无</v>
      </c>
      <c r="Q57" s="2" t="str">
        <f>"无"</f>
        <v>无</v>
      </c>
      <c r="R57" s="2" t="str">
        <f>"15.待业人员"</f>
        <v>15.待业人员</v>
      </c>
      <c r="S57" s="2" t="str">
        <f>"无"</f>
        <v>无</v>
      </c>
      <c r="T57" s="2" t="str">
        <f>"2022-6-30"</f>
        <v>2022-6-30</v>
      </c>
      <c r="U57" s="2" t="str">
        <f>"湖南郴州"</f>
        <v>湖南郴州</v>
      </c>
      <c r="V57" s="2" t="str">
        <f>"未婚"</f>
        <v>未婚</v>
      </c>
      <c r="W57" s="2" t="str">
        <f>"湖南农业大学"</f>
        <v>湖南农业大学</v>
      </c>
      <c r="X57" s="2" t="str">
        <f>""</f>
        <v/>
      </c>
      <c r="Y57" s="2" t="str">
        <f>"湖南省资兴市黄草镇前程村"</f>
        <v>湖南省资兴市黄草镇前程村</v>
      </c>
      <c r="Z57" s="2" t="str">
        <f>"423400"</f>
        <v>423400</v>
      </c>
      <c r="AA57" s="2" t="str">
        <f>"825296461@qq.com"</f>
        <v>825296461@qq.com</v>
      </c>
      <c r="AB57" s="2" t="str">
        <f>"2014.9-2017.6 资兴市立中学2017.9-2020.6 湖南汽车工程职业学院  新能源汽车技术2020.9-2022.6 湖南农业大学  汽车服务工程"</f>
        <v>2014.9-2017.6 资兴市立中学2017.9-2020.6 湖南汽车工程职业学院  新能源汽车技术2020.9-2022.6 湖南农业大学  汽车服务工程</v>
      </c>
      <c r="AC57" s="2" t="str">
        <f>""</f>
        <v/>
      </c>
      <c r="AD57" s="2" t="str">
        <f>"应届毕业生"</f>
        <v>应届毕业生</v>
      </c>
      <c r="AE57" s="2" t="str">
        <f>""</f>
        <v/>
      </c>
    </row>
    <row r="58" spans="1:31" s="1" customFormat="1" ht="24" customHeight="1">
      <c r="A58" s="2" t="str">
        <f>"10842022050913013981622"</f>
        <v>10842022050913013981622</v>
      </c>
      <c r="B58" s="2" t="s">
        <v>1</v>
      </c>
      <c r="C58" s="2" t="s">
        <v>2</v>
      </c>
      <c r="D58" s="2" t="str">
        <f>"何晋"</f>
        <v>何晋</v>
      </c>
      <c r="E58" s="2" t="str">
        <f>"男"</f>
        <v>男</v>
      </c>
      <c r="F58" s="2" t="str">
        <f>"430423199704124413"</f>
        <v>430423199704124413</v>
      </c>
      <c r="G58" s="2" t="str">
        <f>"17573401200"</f>
        <v>17573401200</v>
      </c>
      <c r="H58" s="2" t="str">
        <f t="shared" si="14"/>
        <v>汉</v>
      </c>
      <c r="I58" s="2" t="str">
        <f>"1997-04-12"</f>
        <v>1997-04-12</v>
      </c>
      <c r="J58" s="2" t="str">
        <f>"共青团员"</f>
        <v>共青团员</v>
      </c>
      <c r="K58" s="2" t="str">
        <f t="shared" si="8"/>
        <v>全日制本科</v>
      </c>
      <c r="L58" s="2" t="str">
        <f t="shared" si="9"/>
        <v>学士</v>
      </c>
      <c r="M58" s="2" t="str">
        <f>"湖南涉外经济学院"</f>
        <v>湖南涉外经济学院</v>
      </c>
      <c r="N58" s="2" t="str">
        <f t="shared" si="13"/>
        <v>汽车服务工程</v>
      </c>
      <c r="O58" s="2" t="str">
        <f>"123031202005005394"</f>
        <v>123031202005005394</v>
      </c>
      <c r="P58" s="2" t="str">
        <f>"1230342020000798"</f>
        <v>1230342020000798</v>
      </c>
      <c r="Q58" s="2" t="str">
        <f>"无"</f>
        <v>无</v>
      </c>
      <c r="R58" s="2" t="str">
        <f>"15.待业人员"</f>
        <v>15.待业人员</v>
      </c>
      <c r="S58" s="2" t="str">
        <f>"20214300551001392"</f>
        <v>20214300551001392</v>
      </c>
      <c r="T58" s="2" t="str">
        <f>"2021-07-20"</f>
        <v>2021-07-20</v>
      </c>
      <c r="U58" s="2" t="str">
        <f>"湖南衡山"</f>
        <v>湖南衡山</v>
      </c>
      <c r="V58" s="2" t="str">
        <f>"未婚"</f>
        <v>未婚</v>
      </c>
      <c r="W58" s="2" t="str">
        <f>"衡山县人力资源管理中心"</f>
        <v>衡山县人力资源管理中心</v>
      </c>
      <c r="X58" s="2" t="str">
        <f>""</f>
        <v/>
      </c>
      <c r="Y58" s="2" t="str">
        <f>"湖南省衡阳市衡山县开云镇沙泉社区"</f>
        <v>湖南省衡阳市衡山县开云镇沙泉社区</v>
      </c>
      <c r="Z58" s="2" t="str">
        <f>"421331"</f>
        <v>421331</v>
      </c>
      <c r="AA58" s="2" t="str">
        <f>"985825607@qq.com"</f>
        <v>985825607@qq.com</v>
      </c>
      <c r="AB58" s="2" t="str">
        <f>"2015.09-2018.06 湖南吉利汽车职业技术学院2018.09-2020.06 湖南涉外经济学院"</f>
        <v>2015.09-2018.06 湖南吉利汽车职业技术学院2018.09-2020.06 湖南涉外经济学院</v>
      </c>
      <c r="AC58" s="2" t="str">
        <f>""</f>
        <v/>
      </c>
      <c r="AD58" s="2" t="str">
        <f>""</f>
        <v/>
      </c>
      <c r="AE58" s="2" t="str">
        <f>""</f>
        <v/>
      </c>
    </row>
    <row r="59" spans="1:31" s="1" customFormat="1" ht="24" customHeight="1">
      <c r="A59" s="2" t="str">
        <f>"10842022050918165382349"</f>
        <v>10842022050918165382349</v>
      </c>
      <c r="B59" s="2" t="s">
        <v>1</v>
      </c>
      <c r="C59" s="2" t="s">
        <v>2</v>
      </c>
      <c r="D59" s="2" t="str">
        <f>"龙亮"</f>
        <v>龙亮</v>
      </c>
      <c r="E59" s="2" t="str">
        <f>"男"</f>
        <v>男</v>
      </c>
      <c r="F59" s="2" t="str">
        <f>"430426199006245110"</f>
        <v>430426199006245110</v>
      </c>
      <c r="G59" s="2" t="str">
        <f>"15211457790"</f>
        <v>15211457790</v>
      </c>
      <c r="H59" s="2" t="str">
        <f t="shared" si="14"/>
        <v>汉</v>
      </c>
      <c r="I59" s="2" t="str">
        <f>"1990-06-24"</f>
        <v>1990-06-24</v>
      </c>
      <c r="J59" s="2" t="str">
        <f>"群众"</f>
        <v>群众</v>
      </c>
      <c r="K59" s="2" t="str">
        <f t="shared" si="8"/>
        <v>全日制本科</v>
      </c>
      <c r="L59" s="2" t="str">
        <f t="shared" si="9"/>
        <v>学士</v>
      </c>
      <c r="M59" s="2" t="str">
        <f>"长沙理工大学城南学院"</f>
        <v>长沙理工大学城南学院</v>
      </c>
      <c r="N59" s="2" t="str">
        <f t="shared" si="13"/>
        <v>汽车服务工程</v>
      </c>
      <c r="O59" s="2" t="str">
        <f>"136351201305301080"</f>
        <v>136351201305301080</v>
      </c>
      <c r="P59" s="2" t="str">
        <f>"1363542013101556"</f>
        <v>1363542013101556</v>
      </c>
      <c r="Q59" s="2" t="str">
        <f>"助理讲师"</f>
        <v>助理讲师</v>
      </c>
      <c r="R59" s="2" t="str">
        <f>"4.事业单位职员(不含工人)"</f>
        <v>4.事业单位职员(不含工人)</v>
      </c>
      <c r="S59" s="2" t="str">
        <f>"C02203042300000001"</f>
        <v>C02203042300000001</v>
      </c>
      <c r="T59" s="2" t="str">
        <f>"2020年12月31日"</f>
        <v>2020年12月31日</v>
      </c>
      <c r="U59" s="2" t="str">
        <f>"湖南省衡阳市祁东县"</f>
        <v>湖南省衡阳市祁东县</v>
      </c>
      <c r="V59" s="2" t="str">
        <f>"已婚"</f>
        <v>已婚</v>
      </c>
      <c r="W59" s="2" t="str">
        <f>"衡山县教育局"</f>
        <v>衡山县教育局</v>
      </c>
      <c r="X59" s="2" t="str">
        <f>""</f>
        <v/>
      </c>
      <c r="Y59" s="2" t="str">
        <f>"湖南省衡阳市祁东县柿竹二巷"</f>
        <v>湖南省衡阳市祁东县柿竹二巷</v>
      </c>
      <c r="Z59" s="2" t="str">
        <f>"421612"</f>
        <v>421612</v>
      </c>
      <c r="AA59" s="2" t="str">
        <f>"260330719@qq.com"</f>
        <v>260330719@qq.com</v>
      </c>
      <c r="AB59" s="2" t="str">
        <f>"祁东县育贤中学，长沙理工大学城南学院"</f>
        <v>祁东县育贤中学，长沙理工大学城南学院</v>
      </c>
      <c r="AC59" s="2" t="str">
        <f>""</f>
        <v/>
      </c>
      <c r="AD59" s="2" t="str">
        <f>""</f>
        <v/>
      </c>
      <c r="AE59" s="2" t="str">
        <f>"车身修复省一等奖一次，省二等奖2次，省三等奖3次"</f>
        <v>车身修复省一等奖一次，省二等奖2次，省三等奖3次</v>
      </c>
    </row>
    <row r="60" spans="1:31" s="1" customFormat="1" ht="24" customHeight="1">
      <c r="A60" s="2" t="str">
        <f>"10842022051112112884274"</f>
        <v>10842022051112112884274</v>
      </c>
      <c r="B60" s="2" t="s">
        <v>1</v>
      </c>
      <c r="C60" s="2" t="s">
        <v>2</v>
      </c>
      <c r="D60" s="2" t="str">
        <f>"罗润德"</f>
        <v>罗润德</v>
      </c>
      <c r="E60" s="2" t="str">
        <f>"男"</f>
        <v>男</v>
      </c>
      <c r="F60" s="2" t="str">
        <f>"431121199710158777"</f>
        <v>431121199710158777</v>
      </c>
      <c r="G60" s="2" t="str">
        <f>"18374183352"</f>
        <v>18374183352</v>
      </c>
      <c r="H60" s="2" t="str">
        <f t="shared" si="14"/>
        <v>汉</v>
      </c>
      <c r="I60" s="2" t="str">
        <f>"1997-10-15"</f>
        <v>1997-10-15</v>
      </c>
      <c r="J60" s="2" t="str">
        <f>"群众"</f>
        <v>群众</v>
      </c>
      <c r="K60" s="2" t="str">
        <f t="shared" si="8"/>
        <v>全日制本科</v>
      </c>
      <c r="L60" s="2" t="str">
        <f t="shared" si="9"/>
        <v>学士</v>
      </c>
      <c r="M60" s="2" t="str">
        <f>"湖南农业大学"</f>
        <v>湖南农业大学</v>
      </c>
      <c r="N60" s="2" t="str">
        <f t="shared" si="13"/>
        <v>汽车服务工程</v>
      </c>
      <c r="O60" s="2" t="str">
        <f>"105371202005001828"</f>
        <v>105371202005001828</v>
      </c>
      <c r="P60" s="2" t="str">
        <f>"1053742020001825"</f>
        <v>1053742020001825</v>
      </c>
      <c r="Q60" s="2" t="str">
        <f>"教师资格证"</f>
        <v>教师资格证</v>
      </c>
      <c r="R60" s="2" t="str">
        <f>"5.事业单位工人"</f>
        <v>5.事业单位工人</v>
      </c>
      <c r="S60" s="2" t="str">
        <f>"2021436144062"</f>
        <v>2021436144062</v>
      </c>
      <c r="T60" s="2" t="str">
        <f>"2022-1-20"</f>
        <v>2022-1-20</v>
      </c>
      <c r="U60" s="2" t="str">
        <f>"湖南永州"</f>
        <v>湖南永州</v>
      </c>
      <c r="V60" s="2" t="str">
        <f>"未婚"</f>
        <v>未婚</v>
      </c>
      <c r="W60" s="2" t="str">
        <f>"衡山县教育局"</f>
        <v>衡山县教育局</v>
      </c>
      <c r="X60" s="2" t="str">
        <f>""</f>
        <v/>
      </c>
      <c r="Y60" s="2" t="str">
        <f>"湖南省祁阳县八宝镇河上江村四组"</f>
        <v>湖南省祁阳县八宝镇河上江村四组</v>
      </c>
      <c r="Z60" s="2" t="str">
        <f>"426100"</f>
        <v>426100</v>
      </c>
      <c r="AA60" s="2" t="str">
        <f>"1337234490@qq.com"</f>
        <v>1337234490@qq.com</v>
      </c>
      <c r="AB60" s="2" t="str">
        <f>"2016年9月至2020年6月就读于湖南农业大学2020年9月至今工作于衡山县职业中专"</f>
        <v>2016年9月至2020年6月就读于湖南农业大学2020年9月至今工作于衡山县职业中专</v>
      </c>
      <c r="AC60" s="2" t="str">
        <f>""</f>
        <v/>
      </c>
      <c r="AD60" s="2" t="str">
        <f>""</f>
        <v/>
      </c>
      <c r="AE60" s="2" t="str">
        <f>""</f>
        <v/>
      </c>
    </row>
    <row r="61" spans="1:31" s="1" customFormat="1" ht="24" customHeight="1">
      <c r="A61" s="2" t="str">
        <f>"10842022051118295084666"</f>
        <v>10842022051118295084666</v>
      </c>
      <c r="B61" s="2" t="s">
        <v>1</v>
      </c>
      <c r="C61" s="2" t="s">
        <v>2</v>
      </c>
      <c r="D61" s="2" t="str">
        <f>"许翠"</f>
        <v>许翠</v>
      </c>
      <c r="E61" s="2" t="str">
        <f>"女"</f>
        <v>女</v>
      </c>
      <c r="F61" s="2" t="str">
        <f>"430523199811164360"</f>
        <v>430523199811164360</v>
      </c>
      <c r="G61" s="2" t="str">
        <f>"14773933578"</f>
        <v>14773933578</v>
      </c>
      <c r="H61" s="2" t="str">
        <f t="shared" si="14"/>
        <v>汉</v>
      </c>
      <c r="I61" s="2" t="str">
        <f>"1998-11-16"</f>
        <v>1998-11-16</v>
      </c>
      <c r="J61" s="2" t="str">
        <f>"群众"</f>
        <v>群众</v>
      </c>
      <c r="K61" s="2" t="str">
        <f t="shared" si="8"/>
        <v>全日制本科</v>
      </c>
      <c r="L61" s="2" t="str">
        <f t="shared" si="9"/>
        <v>学士</v>
      </c>
      <c r="M61" s="2" t="str">
        <f>"湖南文理学院"</f>
        <v>湖南文理学院</v>
      </c>
      <c r="N61" s="2" t="str">
        <f t="shared" si="13"/>
        <v>汽车服务工程</v>
      </c>
      <c r="O61" s="2" t="str">
        <f>"无"</f>
        <v>无</v>
      </c>
      <c r="P61" s="2" t="str">
        <f>"无"</f>
        <v>无</v>
      </c>
      <c r="Q61" s="2" t="str">
        <f>"无"</f>
        <v>无</v>
      </c>
      <c r="R61" s="2" t="str">
        <f>"1.留学国人员"</f>
        <v>1.留学国人员</v>
      </c>
      <c r="S61" s="2" t="str">
        <f>"无"</f>
        <v>无</v>
      </c>
      <c r="T61" s="2" t="str">
        <f>"无"</f>
        <v>无</v>
      </c>
      <c r="U61" s="2" t="str">
        <f>"湖南邵阳"</f>
        <v>湖南邵阳</v>
      </c>
      <c r="V61" s="2" t="str">
        <f>"未婚"</f>
        <v>未婚</v>
      </c>
      <c r="W61" s="2" t="str">
        <f>"湖南文理学院"</f>
        <v>湖南文理学院</v>
      </c>
      <c r="X61" s="2" t="str">
        <f>""</f>
        <v/>
      </c>
      <c r="Y61" s="2" t="str">
        <f>"湖南省邵阳县五峰铺镇燕塘村许家组"</f>
        <v>湖南省邵阳县五峰铺镇燕塘村许家组</v>
      </c>
      <c r="Z61" s="2" t="str">
        <f>"422115"</f>
        <v>422115</v>
      </c>
      <c r="AA61" s="2" t="str">
        <f>"3394465498@qq.com"</f>
        <v>3394465498@qq.com</v>
      </c>
      <c r="AB61" s="2" t="str">
        <f>"2020.9-2022.6年湖南文理学院    2017.9-2020.6湖南生物机电职业技术学院    2014.9-2017.6邵阳县二中"</f>
        <v>2020.9-2022.6年湖南文理学院    2017.9-2020.6湖南生物机电职业技术学院    2014.9-2017.6邵阳县二中</v>
      </c>
      <c r="AC61" s="2" t="str">
        <f>"2019.11-2020.1湖南永通华盛北京现代4S店实习，从事本专业相关的工作"</f>
        <v>2019.11-2020.1湖南永通华盛北京现代4S店实习，从事本专业相关的工作</v>
      </c>
      <c r="AD61" s="2" t="str">
        <f>""</f>
        <v/>
      </c>
      <c r="AE61" s="2" t="str">
        <f>"英语四级、普通话二乙、驾驶证、2020-2021学年度优秀学生干部和乙等奖学金、2021-2022学年度三好学生和丙等奖学金"</f>
        <v>英语四级、普通话二乙、驾驶证、2020-2021学年度优秀学生干部和乙等奖学金、2021-2022学年度三好学生和丙等奖学金</v>
      </c>
    </row>
    <row r="62" spans="1:31" s="1" customFormat="1" ht="24" customHeight="1">
      <c r="A62" s="2" t="str">
        <f>"10842022051118403184676"</f>
        <v>10842022051118403184676</v>
      </c>
      <c r="B62" s="2" t="s">
        <v>1</v>
      </c>
      <c r="C62" s="2" t="s">
        <v>2</v>
      </c>
      <c r="D62" s="2" t="str">
        <f>"欧阳辉"</f>
        <v>欧阳辉</v>
      </c>
      <c r="E62" s="2" t="str">
        <f t="shared" ref="E62:E68" si="15">"男"</f>
        <v>男</v>
      </c>
      <c r="F62" s="2" t="str">
        <f>"430426198906157218"</f>
        <v>430426198906157218</v>
      </c>
      <c r="G62" s="2" t="str">
        <f>"17872628777"</f>
        <v>17872628777</v>
      </c>
      <c r="H62" s="2" t="str">
        <f t="shared" si="14"/>
        <v>汉</v>
      </c>
      <c r="I62" s="2" t="str">
        <f>"1989-06-15"</f>
        <v>1989-06-15</v>
      </c>
      <c r="J62" s="2" t="str">
        <f>"共青团员"</f>
        <v>共青团员</v>
      </c>
      <c r="K62" s="2" t="str">
        <f t="shared" si="8"/>
        <v>全日制本科</v>
      </c>
      <c r="L62" s="2" t="str">
        <f t="shared" si="9"/>
        <v>学士</v>
      </c>
      <c r="M62" s="2" t="str">
        <f>"长沙理工大学城南学院"</f>
        <v>长沙理工大学城南学院</v>
      </c>
      <c r="N62" s="2" t="str">
        <f t="shared" si="13"/>
        <v>汽车服务工程</v>
      </c>
      <c r="O62" s="2" t="str">
        <f>"136351201305302329"</f>
        <v>136351201305302329</v>
      </c>
      <c r="P62" s="2" t="str">
        <f>"1363542013101185"</f>
        <v>1363542013101185</v>
      </c>
      <c r="Q62" s="2" t="str">
        <f>"高等学校教师资格"</f>
        <v>高等学校教师资格</v>
      </c>
      <c r="R62" s="2" t="str">
        <f>"15.待业人员"</f>
        <v>15.待业人员</v>
      </c>
      <c r="S62" s="2" t="str">
        <f>"2017430017100311"</f>
        <v>2017430017100311</v>
      </c>
      <c r="T62" s="2" t="str">
        <f>"2017-06-22"</f>
        <v>2017-06-22</v>
      </c>
      <c r="U62" s="2" t="str">
        <f>"湖南省衡阳市祁东县"</f>
        <v>湖南省衡阳市祁东县</v>
      </c>
      <c r="V62" s="2" t="str">
        <f>"未婚"</f>
        <v>未婚</v>
      </c>
      <c r="W62" s="2" t="str">
        <f>"祁东人才市场"</f>
        <v>祁东人才市场</v>
      </c>
      <c r="X62" s="2" t="str">
        <f>""</f>
        <v/>
      </c>
      <c r="Y62" s="2" t="str">
        <f>"湖南省衡阳市祁东县步云桥镇择善村2组"</f>
        <v>湖南省衡阳市祁东县步云桥镇择善村2组</v>
      </c>
      <c r="Z62" s="2" t="str">
        <f>"421600"</f>
        <v>421600</v>
      </c>
      <c r="AA62" s="2" t="str">
        <f>"244142468@qq.com"</f>
        <v>244142468@qq.com</v>
      </c>
      <c r="AB62" s="2" t="str">
        <f>"2009年9月-2013年6月  长沙理工大学城南学院  学习2014年2月-2017年7月  娄底潇湘职业技术学院  任教"</f>
        <v>2009年9月-2013年6月  长沙理工大学城南学院  学习2014年2月-2017年7月  娄底潇湘职业技术学院  任教</v>
      </c>
      <c r="AC62" s="2" t="str">
        <f>""</f>
        <v/>
      </c>
      <c r="AD62" s="2" t="str">
        <f>""</f>
        <v/>
      </c>
      <c r="AE62" s="2" t="str">
        <f>""</f>
        <v/>
      </c>
    </row>
    <row r="63" spans="1:31" s="1" customFormat="1" ht="24" customHeight="1">
      <c r="A63" s="2" t="str">
        <f>"10842022051213124285328"</f>
        <v>10842022051213124285328</v>
      </c>
      <c r="B63" s="2" t="s">
        <v>1</v>
      </c>
      <c r="C63" s="2" t="s">
        <v>2</v>
      </c>
      <c r="D63" s="2" t="str">
        <f>"徐兴文"</f>
        <v>徐兴文</v>
      </c>
      <c r="E63" s="2" t="str">
        <f t="shared" si="15"/>
        <v>男</v>
      </c>
      <c r="F63" s="2" t="str">
        <f>"431121199703214734"</f>
        <v>431121199703214734</v>
      </c>
      <c r="G63" s="2" t="str">
        <f>"13874132922"</f>
        <v>13874132922</v>
      </c>
      <c r="H63" s="2" t="str">
        <f t="shared" si="14"/>
        <v>汉</v>
      </c>
      <c r="I63" s="2" t="str">
        <f>"1997-03-21"</f>
        <v>1997-03-21</v>
      </c>
      <c r="J63" s="2" t="str">
        <f>"共青团员"</f>
        <v>共青团员</v>
      </c>
      <c r="K63" s="2" t="str">
        <f t="shared" si="8"/>
        <v>全日制本科</v>
      </c>
      <c r="L63" s="2" t="str">
        <f t="shared" si="9"/>
        <v>学士</v>
      </c>
      <c r="M63" s="2" t="str">
        <f>"湖南农业大学"</f>
        <v>湖南农业大学</v>
      </c>
      <c r="N63" s="2" t="str">
        <f t="shared" si="13"/>
        <v>汽车服务工程</v>
      </c>
      <c r="O63" s="2" t="str">
        <f>"105371202005001830"</f>
        <v>105371202005001830</v>
      </c>
      <c r="P63" s="2" t="str">
        <f>"1053742020001827"</f>
        <v>1053742020001827</v>
      </c>
      <c r="Q63" s="2" t="str">
        <f>"无"</f>
        <v>无</v>
      </c>
      <c r="R63" s="2" t="str">
        <f>"15.待业人员"</f>
        <v>15.待业人员</v>
      </c>
      <c r="S63" s="2" t="str">
        <f>"2021436144053"</f>
        <v>2021436144053</v>
      </c>
      <c r="T63" s="2" t="str">
        <f>"2022-03-01"</f>
        <v>2022-03-01</v>
      </c>
      <c r="U63" s="2" t="str">
        <f>"湖南永州"</f>
        <v>湖南永州</v>
      </c>
      <c r="V63" s="2" t="str">
        <f>"未婚"</f>
        <v>未婚</v>
      </c>
      <c r="W63" s="2" t="str">
        <f>"衡山县教育局"</f>
        <v>衡山县教育局</v>
      </c>
      <c r="X63" s="2" t="str">
        <f>"跑步、乒乓球"</f>
        <v>跑步、乒乓球</v>
      </c>
      <c r="Y63" s="2" t="str">
        <f>"茶陵县职业中等专业学校"</f>
        <v>茶陵县职业中等专业学校</v>
      </c>
      <c r="Z63" s="2" t="str">
        <f>"412400"</f>
        <v>412400</v>
      </c>
      <c r="AA63" s="2" t="str">
        <f>"907085182@qq.com"</f>
        <v>907085182@qq.com</v>
      </c>
      <c r="AB63" s="2" t="str">
        <f>"2013-2016就读于祁阳县职业中专2016.09-2020.06就读于湖南农业大学2020.09-2021.08于衡山县职业中专任教汽车维修专业2021.09-现在 于茶陵县职业中专任教"</f>
        <v>2013-2016就读于祁阳县职业中专2016.09-2020.06就读于湖南农业大学2020.09-2021.08于衡山县职业中专任教汽车维修专业2021.09-现在 于茶陵县职业中专任教</v>
      </c>
      <c r="AC63" s="2" t="str">
        <f>"2020.09-2021.08于衡山县职业中专任教汽车维修专业2021.09-现在 于茶陵县职业中专任教"</f>
        <v>2020.09-2021.08于衡山县职业中专任教汽车维修专业2021.09-现在 于茶陵县职业中专任教</v>
      </c>
      <c r="AD63" s="2" t="str">
        <f>""</f>
        <v/>
      </c>
      <c r="AE63" s="2" t="str">
        <f>"2021衡阳市教学能力比赛三等奖2021衡阳市黄炎培比赛三等奖"</f>
        <v>2021衡阳市教学能力比赛三等奖2021衡阳市黄炎培比赛三等奖</v>
      </c>
    </row>
    <row r="64" spans="1:31" s="1" customFormat="1" ht="24" customHeight="1">
      <c r="A64" s="2" t="str">
        <f>"10842022050922060882783"</f>
        <v>10842022050922060882783</v>
      </c>
      <c r="B64" s="2" t="s">
        <v>1</v>
      </c>
      <c r="C64" s="2" t="s">
        <v>0</v>
      </c>
      <c r="D64" s="2" t="str">
        <f>"刘弦"</f>
        <v>刘弦</v>
      </c>
      <c r="E64" s="2" t="str">
        <f t="shared" si="15"/>
        <v>男</v>
      </c>
      <c r="F64" s="2" t="str">
        <f>"430426199509150033"</f>
        <v>430426199509150033</v>
      </c>
      <c r="G64" s="2" t="str">
        <f>"15116837457"</f>
        <v>15116837457</v>
      </c>
      <c r="H64" s="2" t="str">
        <f t="shared" si="14"/>
        <v>汉</v>
      </c>
      <c r="I64" s="2" t="str">
        <f>"1995-09-15"</f>
        <v>1995-09-15</v>
      </c>
      <c r="J64" s="2" t="str">
        <f>"共青团员"</f>
        <v>共青团员</v>
      </c>
      <c r="K64" s="2" t="str">
        <f t="shared" si="8"/>
        <v>全日制本科</v>
      </c>
      <c r="L64" s="2" t="str">
        <f t="shared" si="9"/>
        <v>学士</v>
      </c>
      <c r="M64" s="2" t="str">
        <f>"湖南科技大学潇湘学院"</f>
        <v>湖南科技大学潇湘学院</v>
      </c>
      <c r="N64" s="2" t="str">
        <f>"电气工程及其自动化"</f>
        <v>电气工程及其自动化</v>
      </c>
      <c r="O64" s="2" t="str">
        <f>"126491201805000524"</f>
        <v>126491201805000524</v>
      </c>
      <c r="P64" s="2" t="str">
        <f>"1264942018000963"</f>
        <v>1264942018000963</v>
      </c>
      <c r="Q64" s="2" t="str">
        <f>"初中数学"</f>
        <v>初中数学</v>
      </c>
      <c r="R64" s="2" t="str">
        <f>"8.其他经济组织社会组织人员(不含工人)"</f>
        <v>8.其他经济组织社会组织人员(不含工人)</v>
      </c>
      <c r="S64" s="2" t="str">
        <f>"2021433099697"</f>
        <v>2021433099697</v>
      </c>
      <c r="T64" s="2" t="str">
        <f>"2022-01-02"</f>
        <v>2022-01-02</v>
      </c>
      <c r="U64" s="2" t="str">
        <f>"湖南省衡阳市祁东县"</f>
        <v>湖南省衡阳市祁东县</v>
      </c>
      <c r="V64" s="2" t="str">
        <f>"已婚"</f>
        <v>已婚</v>
      </c>
      <c r="W64" s="2" t="str">
        <f>"祁东人才交流中心"</f>
        <v>祁东人才交流中心</v>
      </c>
      <c r="X64" s="2" t="str">
        <f>""</f>
        <v/>
      </c>
      <c r="Y64" s="2" t="str">
        <f>"祁东县建汉傲富鼎都"</f>
        <v>祁东县建汉傲富鼎都</v>
      </c>
      <c r="Z64" s="2" t="str">
        <f>"421600"</f>
        <v>421600</v>
      </c>
      <c r="AA64" s="2" t="str">
        <f>"1437504253@qq.com"</f>
        <v>1437504253@qq.com</v>
      </c>
      <c r="AB64" s="2" t="str">
        <f>"2014-2018湖南科技大学潇湘学院2018-2020中铁广州工程局深圳公司2021-至今祁东成章学校"</f>
        <v>2014-2018湖南科技大学潇湘学院2018-2020中铁广州工程局深圳公司2021-至今祁东成章学校</v>
      </c>
      <c r="AC64" s="2" t="str">
        <f>""</f>
        <v/>
      </c>
      <c r="AD64" s="2" t="str">
        <f>""</f>
        <v/>
      </c>
      <c r="AE64" s="2" t="str">
        <f>""</f>
        <v/>
      </c>
    </row>
    <row r="65" spans="1:31" s="1" customFormat="1" ht="24" customHeight="1">
      <c r="A65" s="2" t="str">
        <f>"10842022051021464883913"</f>
        <v>10842022051021464883913</v>
      </c>
      <c r="B65" s="2" t="s">
        <v>1</v>
      </c>
      <c r="C65" s="2" t="s">
        <v>0</v>
      </c>
      <c r="D65" s="2" t="str">
        <f>"郑伟"</f>
        <v>郑伟</v>
      </c>
      <c r="E65" s="2" t="str">
        <f t="shared" si="15"/>
        <v>男</v>
      </c>
      <c r="F65" s="2" t="str">
        <f>"430521198707104272"</f>
        <v>430521198707104272</v>
      </c>
      <c r="G65" s="2" t="str">
        <f>"18858576455"</f>
        <v>18858576455</v>
      </c>
      <c r="H65" s="2" t="str">
        <f t="shared" si="14"/>
        <v>汉</v>
      </c>
      <c r="I65" s="2" t="str">
        <f>"1987-07-10"</f>
        <v>1987-07-10</v>
      </c>
      <c r="J65" s="2" t="str">
        <f>"群众"</f>
        <v>群众</v>
      </c>
      <c r="K65" s="2" t="str">
        <f t="shared" si="8"/>
        <v>全日制本科</v>
      </c>
      <c r="L65" s="2" t="str">
        <f t="shared" si="9"/>
        <v>学士</v>
      </c>
      <c r="M65" s="2" t="str">
        <f>"哈尔滨工程大学"</f>
        <v>哈尔滨工程大学</v>
      </c>
      <c r="N65" s="2" t="str">
        <f>"自动化"</f>
        <v>自动化</v>
      </c>
      <c r="O65" s="2" t="str">
        <f>"102171201305040001"</f>
        <v>102171201305040001</v>
      </c>
      <c r="P65" s="2" t="str">
        <f>"1021742013040001"</f>
        <v>1021742013040001</v>
      </c>
      <c r="Q65" s="2" t="str">
        <f>"无"</f>
        <v>无</v>
      </c>
      <c r="R65" s="2" t="str">
        <f>"9.其他经济组织社会组织工人"</f>
        <v>9.其他经济组织社会组织工人</v>
      </c>
      <c r="S65" s="2" t="str">
        <f>"无"</f>
        <v>无</v>
      </c>
      <c r="T65" s="2" t="str">
        <f>"无"</f>
        <v>无</v>
      </c>
      <c r="U65" s="2" t="str">
        <f>"浙江省上虞市"</f>
        <v>浙江省上虞市</v>
      </c>
      <c r="V65" s="2" t="str">
        <f>"未婚"</f>
        <v>未婚</v>
      </c>
      <c r="W65" s="2" t="str">
        <f>"浙江国邦药业股份有限公司"</f>
        <v>浙江国邦药业股份有限公司</v>
      </c>
      <c r="X65" s="2" t="str">
        <f>"羽毛球"</f>
        <v>羽毛球</v>
      </c>
      <c r="Y65" s="2" t="str">
        <f>"浙江省上虞市杭州湾工业园区纬五路22号"</f>
        <v>浙江省上虞市杭州湾工业园区纬五路22号</v>
      </c>
      <c r="Z65" s="2" t="str">
        <f>"312300"</f>
        <v>312300</v>
      </c>
      <c r="AA65" s="2" t="str">
        <f>"381665827@qq.com"</f>
        <v>381665827@qq.com</v>
      </c>
      <c r="AB65" s="2" t="str">
        <f>"2003.09-2006.06，高中学习于邵东第一中学；2006.9-2007.06，高中学习于邵东振华中学；2007.09-2013.06，大学学习于哈尔滨工程大学自动化专业；2013.07迄今，工作于浙江国邦药业股份有限公司。"</f>
        <v>2003.09-2006.06，高中学习于邵东第一中学；2006.9-2007.06，高中学习于邵东振华中学；2007.09-2013.06，大学学习于哈尔滨工程大学自动化专业；2013.07迄今，工作于浙江国邦药业股份有限公司。</v>
      </c>
      <c r="AC65" s="2" t="str">
        <f>"1.有3年（2013-2016年）的现场自动化仪表硬件安装、调试维修经历及软件编程、调试经验，对现场一线自动化仪表、软件安装调试使用有丰富经验和实践；2.有2年（2016-2018）的生产线自动化改造提升工作经验，对生产线自动化提升，自控仪表选型调研、自动控制方案设计及优化有充足经验；3.有4年（2018-2022）的专职项目施工管理经验，熟悉新车间及生产线的建造，迄今参与或主导的项目总费用超过5个亿，对流程设计、过程施工、生产线调试、人员培训均驾轻就熟。"</f>
        <v>1.有3年（2013-2016年）的现场自动化仪表硬件安装、调试维修经历及软件编程、调试经验，对现场一线自动化仪表、软件安装调试使用有丰富经验和实践；2.有2年（2016-2018）的生产线自动化改造提升工作经验，对生产线自动化提升，自控仪表选型调研、自动控制方案设计及优化有充足经验；3.有4年（2018-2022）的专职项目施工管理经验，熟悉新车间及生产线的建造，迄今参与或主导的项目总费用超过5个亿，对流程设计、过程施工、生产线调试、人员培训均驾轻就熟。</v>
      </c>
      <c r="AD65" s="2" t="str">
        <f>"无"</f>
        <v>无</v>
      </c>
      <c r="AE65" s="2" t="str">
        <f>"1.长期担任公司电气及自动化技术顾问或负责人，多次自动化DCS系统学习培训经历，拥有充足的实践经验及技术积累；2.长期负责自动化专业工程人员的管理和培养，多次受邀在公司及工业园区做技术案例交流和技术分析，有丰富的人员培养、技术讲解经验；3.多年担任部门经理、项目经理，有良好的沟通和团队管理能力。"</f>
        <v>1.长期担任公司电气及自动化技术顾问或负责人，多次自动化DCS系统学习培训经历，拥有充足的实践经验及技术积累；2.长期负责自动化专业工程人员的管理和培养，多次受邀在公司及工业园区做技术案例交流和技术分析，有丰富的人员培养、技术讲解经验；3.多年担任部门经理、项目经理，有良好的沟通和团队管理能力。</v>
      </c>
    </row>
    <row r="66" spans="1:31" s="1" customFormat="1" ht="24" customHeight="1">
      <c r="A66" s="2" t="str">
        <f>"10842022051115122984432"</f>
        <v>10842022051115122984432</v>
      </c>
      <c r="B66" s="2" t="s">
        <v>1</v>
      </c>
      <c r="C66" s="2" t="s">
        <v>0</v>
      </c>
      <c r="D66" s="2" t="str">
        <f>"肖廷桢"</f>
        <v>肖廷桢</v>
      </c>
      <c r="E66" s="2" t="str">
        <f t="shared" si="15"/>
        <v>男</v>
      </c>
      <c r="F66" s="2" t="str">
        <f>"430426200002219535"</f>
        <v>430426200002219535</v>
      </c>
      <c r="G66" s="2" t="str">
        <f>"18163608165"</f>
        <v>18163608165</v>
      </c>
      <c r="H66" s="2" t="str">
        <f t="shared" si="14"/>
        <v>汉</v>
      </c>
      <c r="I66" s="2" t="str">
        <f>"2000-02-21"</f>
        <v>2000-02-21</v>
      </c>
      <c r="J66" s="2" t="str">
        <f>"党员"</f>
        <v>党员</v>
      </c>
      <c r="K66" s="2" t="str">
        <f t="shared" si="8"/>
        <v>全日制本科</v>
      </c>
      <c r="L66" s="2" t="str">
        <f t="shared" si="9"/>
        <v>学士</v>
      </c>
      <c r="M66" s="2" t="str">
        <f>"广西大学"</f>
        <v>广西大学</v>
      </c>
      <c r="N66" s="2" t="str">
        <f>"自动化"</f>
        <v>自动化</v>
      </c>
      <c r="O66" s="2" t="str">
        <f>"无（应届生）"</f>
        <v>无（应届生）</v>
      </c>
      <c r="P66" s="2" t="str">
        <f>"无（应届生）"</f>
        <v>无（应届生）</v>
      </c>
      <c r="Q66" s="2" t="str">
        <f>"无"</f>
        <v>无</v>
      </c>
      <c r="R66" s="2" t="str">
        <f>"15.待业人员"</f>
        <v>15.待业人员</v>
      </c>
      <c r="S66" s="2" t="str">
        <f>"无"</f>
        <v>无</v>
      </c>
      <c r="T66" s="2" t="str">
        <f>"无"</f>
        <v>无</v>
      </c>
      <c r="U66" s="2" t="str">
        <f>"湖南省祁东县"</f>
        <v>湖南省祁东县</v>
      </c>
      <c r="V66" s="2" t="str">
        <f>"未婚"</f>
        <v>未婚</v>
      </c>
      <c r="W66" s="2" t="str">
        <f>"广西大学"</f>
        <v>广西大学</v>
      </c>
      <c r="X66" s="2" t="str">
        <f>""</f>
        <v/>
      </c>
      <c r="Y66" s="2" t="str">
        <f>"湖南省衡阳市祁东县洪桥镇竹苑路步步高小区K栋"</f>
        <v>湖南省衡阳市祁东县洪桥镇竹苑路步步高小区K栋</v>
      </c>
      <c r="Z66" s="2" t="str">
        <f>"421600"</f>
        <v>421600</v>
      </c>
      <c r="AA66" s="2" t="str">
        <f>"by699@qq.com"</f>
        <v>by699@qq.com</v>
      </c>
      <c r="AB66" s="2" t="str">
        <f>"2019年9月-2022年6月：广西大学自动化专业本科在读2018年9月-2019年9月：广西大学全日制化学工程与工艺专业本科在读"</f>
        <v>2019年9月-2022年6月：广西大学自动化专业本科在读2018年9月-2019年9月：广西大学全日制化学工程与工艺专业本科在读</v>
      </c>
      <c r="AC66" s="2" t="str">
        <f>""</f>
        <v/>
      </c>
      <c r="AD66" s="2" t="str">
        <f>""</f>
        <v/>
      </c>
      <c r="AE66" s="2" t="str">
        <f>""</f>
        <v/>
      </c>
    </row>
    <row r="67" spans="1:31" s="1" customFormat="1" ht="24" customHeight="1">
      <c r="A67" s="2" t="str">
        <f>"10842022051121321484860"</f>
        <v>10842022051121321484860</v>
      </c>
      <c r="B67" s="2" t="s">
        <v>1</v>
      </c>
      <c r="C67" s="2" t="s">
        <v>0</v>
      </c>
      <c r="D67" s="2" t="str">
        <f>"江永飞"</f>
        <v>江永飞</v>
      </c>
      <c r="E67" s="2" t="str">
        <f t="shared" si="15"/>
        <v>男</v>
      </c>
      <c r="F67" s="2" t="str">
        <f>"430426199112010016"</f>
        <v>430426199112010016</v>
      </c>
      <c r="G67" s="2" t="str">
        <f>"18807405397"</f>
        <v>18807405397</v>
      </c>
      <c r="H67" s="2" t="str">
        <f t="shared" si="14"/>
        <v>汉</v>
      </c>
      <c r="I67" s="2" t="str">
        <f>"1991-12-01"</f>
        <v>1991-12-01</v>
      </c>
      <c r="J67" s="2" t="str">
        <f>"党员"</f>
        <v>党员</v>
      </c>
      <c r="K67" s="2" t="str">
        <f t="shared" si="8"/>
        <v>全日制本科</v>
      </c>
      <c r="L67" s="2" t="str">
        <f t="shared" si="9"/>
        <v>学士</v>
      </c>
      <c r="M67" s="2" t="str">
        <f>"南华大学船山学院"</f>
        <v>南华大学船山学院</v>
      </c>
      <c r="N67" s="2" t="str">
        <f>"电气工程及其自动化"</f>
        <v>电气工程及其自动化</v>
      </c>
      <c r="O67" s="2" t="str">
        <f>"126501201405450107"</f>
        <v>126501201405450107</v>
      </c>
      <c r="P67" s="2" t="str">
        <f>"1265042014450107"</f>
        <v>1265042014450107</v>
      </c>
      <c r="Q67" s="2" t="str">
        <f>"教师资格证"</f>
        <v>教师资格证</v>
      </c>
      <c r="R67" s="2" t="str">
        <f>"3.国有企业工作"</f>
        <v>3.国有企业工作</v>
      </c>
      <c r="S67" s="2" t="str">
        <f>"20194300551000753"</f>
        <v>20194300551000753</v>
      </c>
      <c r="T67" s="2" t="str">
        <f>"2019-5-30"</f>
        <v>2019-5-30</v>
      </c>
      <c r="U67" s="2" t="str">
        <f>"湖南祁东"</f>
        <v>湖南祁东</v>
      </c>
      <c r="V67" s="2" t="str">
        <f>"已婚"</f>
        <v>已婚</v>
      </c>
      <c r="W67" s="2" t="str">
        <f>"中国邮政集团公司湖南省国际业务分公司"</f>
        <v>中国邮政集团公司湖南省国际业务分公司</v>
      </c>
      <c r="X67" s="2" t="str">
        <f>""</f>
        <v/>
      </c>
      <c r="Y67" s="2" t="str">
        <f>"湖南省祁东县园林巷15号"</f>
        <v>湖南省祁东县园林巷15号</v>
      </c>
      <c r="Z67" s="2" t="str">
        <f>"421600"</f>
        <v>421600</v>
      </c>
      <c r="AA67" s="2" t="str">
        <f>"935989046@qq.com"</f>
        <v>935989046@qq.com</v>
      </c>
      <c r="AB67" s="2" t="str">
        <f>"2010年9月-2014年6月，就读于南华大学船山学院；2014年9月-至今，就职于中国邮政集团公司湖南省国际业务分公司；"</f>
        <v>2010年9月-2014年6月，就读于南华大学船山学院；2014年9月-至今，就职于中国邮政集团公司湖南省国际业务分公司；</v>
      </c>
      <c r="AC67" s="2" t="str">
        <f>""</f>
        <v/>
      </c>
      <c r="AD67" s="2" t="str">
        <f>"中职专业课教师资格证"</f>
        <v>中职专业课教师资格证</v>
      </c>
      <c r="AE67" s="2" t="str">
        <f>""</f>
        <v/>
      </c>
    </row>
    <row r="68" spans="1:31" s="1" customFormat="1" ht="24" customHeight="1">
      <c r="A68" s="2" t="str">
        <f>"10842022051121473384875"</f>
        <v>10842022051121473384875</v>
      </c>
      <c r="B68" s="2" t="s">
        <v>1</v>
      </c>
      <c r="C68" s="2" t="s">
        <v>0</v>
      </c>
      <c r="D68" s="2" t="str">
        <f>"杨子琪"</f>
        <v>杨子琪</v>
      </c>
      <c r="E68" s="2" t="str">
        <f t="shared" si="15"/>
        <v>男</v>
      </c>
      <c r="F68" s="2" t="str">
        <f>"130982199601074149"</f>
        <v>130982199601074149</v>
      </c>
      <c r="G68" s="2" t="str">
        <f>"15927236337"</f>
        <v>15927236337</v>
      </c>
      <c r="H68" s="2" t="str">
        <f t="shared" si="14"/>
        <v>汉</v>
      </c>
      <c r="I68" s="2" t="str">
        <f>"1996-01-07"</f>
        <v>1996-01-07</v>
      </c>
      <c r="J68" s="2" t="str">
        <f>"共青团员"</f>
        <v>共青团员</v>
      </c>
      <c r="K68" s="2" t="str">
        <f t="shared" si="8"/>
        <v>全日制本科</v>
      </c>
      <c r="L68" s="2" t="str">
        <f t="shared" si="9"/>
        <v>学士</v>
      </c>
      <c r="M68" s="2" t="str">
        <f>"华中农业大学"</f>
        <v>华中农业大学</v>
      </c>
      <c r="N68" s="2" t="str">
        <f>"自动化"</f>
        <v>自动化</v>
      </c>
      <c r="O68" s="2" t="str">
        <f>"105041201805000697"</f>
        <v>105041201805000697</v>
      </c>
      <c r="P68" s="2" t="str">
        <f>"1050442018000697"</f>
        <v>1050442018000697</v>
      </c>
      <c r="Q68" s="2" t="str">
        <f>"无"</f>
        <v>无</v>
      </c>
      <c r="R68" s="2" t="str">
        <f>"15.待业人员"</f>
        <v>15.待业人员</v>
      </c>
      <c r="S68" s="2" t="str">
        <f>"无"</f>
        <v>无</v>
      </c>
      <c r="T68" s="2" t="str">
        <f>"无"</f>
        <v>无</v>
      </c>
      <c r="U68" s="2" t="str">
        <f>"河北省任丘市苟各庄镇二街存501号"</f>
        <v>河北省任丘市苟各庄镇二街存501号</v>
      </c>
      <c r="V68" s="2" t="str">
        <f>"未婚"</f>
        <v>未婚</v>
      </c>
      <c r="W68" s="2" t="str">
        <f>"任丘市公安局"</f>
        <v>任丘市公安局</v>
      </c>
      <c r="X68" s="2" t="str">
        <f>"会熟练使用plc，并会使用相关编程软件 有授课经验"</f>
        <v>会熟练使用plc，并会使用相关编程软件 有授课经验</v>
      </c>
      <c r="Y68" s="2" t="str">
        <f>"湖南省衡阳市蒸湘区衡府"</f>
        <v>湖南省衡阳市蒸湘区衡府</v>
      </c>
      <c r="Z68" s="2" t="str">
        <f>"421001"</f>
        <v>421001</v>
      </c>
      <c r="AA68" s="2" t="str">
        <f>"1014721924@qq.com"</f>
        <v>1014721924@qq.com</v>
      </c>
      <c r="AB68" s="2" t="str">
        <f>"河北冀州中学	大学就读于华中农业大学   "</f>
        <v xml:space="preserve">河北冀州中学	大学就读于华中农业大学   </v>
      </c>
      <c r="AC68" s="2" t="str">
        <f>"在衡阳技师学院授课"</f>
        <v>在衡阳技师学院授课</v>
      </c>
      <c r="AD68" s="2" t="str">
        <f>"无工作合同"</f>
        <v>无工作合同</v>
      </c>
      <c r="AE68" s="2" t="str">
        <f>""</f>
        <v/>
      </c>
    </row>
  </sheetData>
  <autoFilter ref="A1:XFC68"/>
  <phoneticPr fontId="2"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H31" sqref="H31"/>
    </sheetView>
  </sheetViews>
  <sheetFormatPr defaultRowHeight="24" customHeight="1"/>
  <cols>
    <col min="1" max="1" width="26.125" customWidth="1"/>
    <col min="2" max="2" width="8.875" style="6" customWidth="1"/>
    <col min="3" max="3" width="11.875" style="6" customWidth="1"/>
    <col min="4" max="4" width="9.125" style="6" customWidth="1"/>
    <col min="5" max="5" width="7.75" style="6" customWidth="1"/>
    <col min="6" max="6" width="16.5" customWidth="1"/>
  </cols>
  <sheetData>
    <row r="1" spans="1:6" ht="13.5" customHeight="1">
      <c r="A1" s="20" t="s">
        <v>387</v>
      </c>
    </row>
    <row r="2" spans="1:6" ht="33.75" customHeight="1">
      <c r="A2" s="36" t="s">
        <v>386</v>
      </c>
      <c r="B2" s="36"/>
      <c r="C2" s="36"/>
      <c r="D2" s="36"/>
      <c r="E2" s="36"/>
      <c r="F2" s="36"/>
    </row>
    <row r="3" spans="1:6" s="32" customFormat="1" ht="24" customHeight="1">
      <c r="A3" s="27" t="s">
        <v>51</v>
      </c>
      <c r="B3" s="27" t="s">
        <v>120</v>
      </c>
      <c r="C3" s="27" t="s">
        <v>121</v>
      </c>
      <c r="D3" s="27" t="s">
        <v>383</v>
      </c>
      <c r="E3" s="31" t="s">
        <v>48</v>
      </c>
      <c r="F3" s="31" t="s">
        <v>384</v>
      </c>
    </row>
    <row r="4" spans="1:6" ht="27" customHeight="1">
      <c r="A4" s="2" t="s">
        <v>52</v>
      </c>
      <c r="B4" s="8" t="s">
        <v>122</v>
      </c>
      <c r="C4" s="8" t="s">
        <v>123</v>
      </c>
      <c r="D4" s="8" t="s">
        <v>4</v>
      </c>
      <c r="E4" s="11" t="s">
        <v>53</v>
      </c>
      <c r="F4" s="19" t="s">
        <v>385</v>
      </c>
    </row>
    <row r="5" spans="1:6" ht="27" customHeight="1">
      <c r="A5" s="2" t="s">
        <v>54</v>
      </c>
      <c r="B5" s="8" t="s">
        <v>124</v>
      </c>
      <c r="C5" s="8" t="s">
        <v>125</v>
      </c>
      <c r="D5" s="8" t="s">
        <v>4</v>
      </c>
      <c r="E5" s="11" t="s">
        <v>55</v>
      </c>
      <c r="F5" s="19" t="s">
        <v>385</v>
      </c>
    </row>
    <row r="6" spans="1:6" ht="27" customHeight="1">
      <c r="A6" s="2" t="s">
        <v>56</v>
      </c>
      <c r="B6" s="8" t="s">
        <v>124</v>
      </c>
      <c r="C6" s="8" t="s">
        <v>125</v>
      </c>
      <c r="D6" s="8" t="s">
        <v>4</v>
      </c>
      <c r="E6" s="11" t="s">
        <v>57</v>
      </c>
      <c r="F6" s="19" t="s">
        <v>385</v>
      </c>
    </row>
    <row r="7" spans="1:6" ht="27" customHeight="1">
      <c r="A7" s="2" t="s">
        <v>58</v>
      </c>
      <c r="B7" s="8" t="s">
        <v>124</v>
      </c>
      <c r="C7" s="8" t="s">
        <v>125</v>
      </c>
      <c r="D7" s="8" t="s">
        <v>4</v>
      </c>
      <c r="E7" s="11" t="s">
        <v>59</v>
      </c>
      <c r="F7" s="19" t="s">
        <v>385</v>
      </c>
    </row>
    <row r="8" spans="1:6" ht="27" customHeight="1">
      <c r="A8" s="2" t="s">
        <v>60</v>
      </c>
      <c r="B8" s="8" t="s">
        <v>124</v>
      </c>
      <c r="C8" s="8" t="s">
        <v>125</v>
      </c>
      <c r="D8" s="8" t="s">
        <v>4</v>
      </c>
      <c r="E8" s="11" t="s">
        <v>61</v>
      </c>
      <c r="F8" s="19" t="s">
        <v>385</v>
      </c>
    </row>
    <row r="9" spans="1:6" ht="27" customHeight="1">
      <c r="A9" s="2" t="s">
        <v>62</v>
      </c>
      <c r="B9" s="8" t="s">
        <v>126</v>
      </c>
      <c r="C9" s="8" t="s">
        <v>125</v>
      </c>
      <c r="D9" s="8" t="s">
        <v>14</v>
      </c>
      <c r="E9" s="11" t="s">
        <v>63</v>
      </c>
      <c r="F9" s="19" t="s">
        <v>385</v>
      </c>
    </row>
    <row r="10" spans="1:6" ht="27" customHeight="1">
      <c r="A10" s="2" t="s">
        <v>64</v>
      </c>
      <c r="B10" s="8" t="s">
        <v>126</v>
      </c>
      <c r="C10" s="8" t="s">
        <v>125</v>
      </c>
      <c r="D10" s="8" t="s">
        <v>14</v>
      </c>
      <c r="E10" s="11" t="s">
        <v>65</v>
      </c>
      <c r="F10" s="19" t="s">
        <v>385</v>
      </c>
    </row>
    <row r="11" spans="1:6" ht="27" customHeight="1">
      <c r="A11" s="2" t="s">
        <v>66</v>
      </c>
      <c r="B11" s="8" t="s">
        <v>126</v>
      </c>
      <c r="C11" s="8" t="s">
        <v>125</v>
      </c>
      <c r="D11" s="8" t="s">
        <v>14</v>
      </c>
      <c r="E11" s="11" t="s">
        <v>67</v>
      </c>
      <c r="F11" s="19" t="s">
        <v>385</v>
      </c>
    </row>
    <row r="12" spans="1:6" ht="27" customHeight="1">
      <c r="A12" s="2" t="s">
        <v>68</v>
      </c>
      <c r="B12" s="8" t="s">
        <v>126</v>
      </c>
      <c r="C12" s="8" t="s">
        <v>125</v>
      </c>
      <c r="D12" s="8" t="s">
        <v>14</v>
      </c>
      <c r="E12" s="11" t="s">
        <v>69</v>
      </c>
      <c r="F12" s="19" t="s">
        <v>385</v>
      </c>
    </row>
    <row r="13" spans="1:6" ht="27" customHeight="1">
      <c r="A13" s="2" t="s">
        <v>70</v>
      </c>
      <c r="B13" s="8" t="s">
        <v>127</v>
      </c>
      <c r="C13" s="8" t="s">
        <v>128</v>
      </c>
      <c r="D13" s="8" t="s">
        <v>14</v>
      </c>
      <c r="E13" s="11" t="s">
        <v>71</v>
      </c>
      <c r="F13" s="19" t="s">
        <v>385</v>
      </c>
    </row>
    <row r="14" spans="1:6" ht="27" customHeight="1">
      <c r="A14" s="2" t="s">
        <v>72</v>
      </c>
      <c r="B14" s="8" t="s">
        <v>127</v>
      </c>
      <c r="C14" s="8" t="s">
        <v>128</v>
      </c>
      <c r="D14" s="8" t="s">
        <v>14</v>
      </c>
      <c r="E14" s="11" t="s">
        <v>73</v>
      </c>
      <c r="F14" s="19" t="s">
        <v>385</v>
      </c>
    </row>
    <row r="15" spans="1:6" ht="27" customHeight="1">
      <c r="A15" s="2" t="s">
        <v>74</v>
      </c>
      <c r="B15" s="8" t="s">
        <v>127</v>
      </c>
      <c r="C15" s="8" t="s">
        <v>128</v>
      </c>
      <c r="D15" s="8" t="s">
        <v>14</v>
      </c>
      <c r="E15" s="11" t="s">
        <v>75</v>
      </c>
      <c r="F15" s="19" t="s">
        <v>385</v>
      </c>
    </row>
    <row r="16" spans="1:6" ht="27" customHeight="1">
      <c r="A16" s="2" t="s">
        <v>76</v>
      </c>
      <c r="B16" s="8" t="s">
        <v>127</v>
      </c>
      <c r="C16" s="8" t="s">
        <v>128</v>
      </c>
      <c r="D16" s="8" t="s">
        <v>14</v>
      </c>
      <c r="E16" s="11" t="s">
        <v>77</v>
      </c>
      <c r="F16" s="19" t="s">
        <v>385</v>
      </c>
    </row>
    <row r="17" spans="1:6" ht="27" customHeight="1">
      <c r="A17" s="2" t="s">
        <v>78</v>
      </c>
      <c r="B17" s="8" t="s">
        <v>127</v>
      </c>
      <c r="C17" s="8" t="s">
        <v>128</v>
      </c>
      <c r="D17" s="8" t="s">
        <v>14</v>
      </c>
      <c r="E17" s="11" t="s">
        <v>79</v>
      </c>
      <c r="F17" s="19" t="s">
        <v>385</v>
      </c>
    </row>
    <row r="18" spans="1:6" ht="27" customHeight="1">
      <c r="A18" s="2" t="s">
        <v>80</v>
      </c>
      <c r="B18" s="8" t="s">
        <v>127</v>
      </c>
      <c r="C18" s="8" t="s">
        <v>128</v>
      </c>
      <c r="D18" s="8" t="s">
        <v>14</v>
      </c>
      <c r="E18" s="11" t="s">
        <v>81</v>
      </c>
      <c r="F18" s="19" t="s">
        <v>385</v>
      </c>
    </row>
    <row r="19" spans="1:6" ht="27" customHeight="1">
      <c r="A19" s="2" t="s">
        <v>82</v>
      </c>
      <c r="B19" s="8" t="s">
        <v>127</v>
      </c>
      <c r="C19" s="8" t="s">
        <v>128</v>
      </c>
      <c r="D19" s="8" t="s">
        <v>14</v>
      </c>
      <c r="E19" s="11" t="s">
        <v>83</v>
      </c>
      <c r="F19" s="19" t="s">
        <v>385</v>
      </c>
    </row>
    <row r="20" spans="1:6" ht="27" customHeight="1">
      <c r="A20" s="2" t="s">
        <v>84</v>
      </c>
      <c r="B20" s="8" t="s">
        <v>127</v>
      </c>
      <c r="C20" s="8" t="s">
        <v>128</v>
      </c>
      <c r="D20" s="8" t="s">
        <v>14</v>
      </c>
      <c r="E20" s="11" t="s">
        <v>85</v>
      </c>
      <c r="F20" s="19" t="s">
        <v>385</v>
      </c>
    </row>
    <row r="21" spans="1:6" ht="27" customHeight="1">
      <c r="A21" s="2" t="s">
        <v>86</v>
      </c>
      <c r="B21" s="8" t="s">
        <v>127</v>
      </c>
      <c r="C21" s="8" t="s">
        <v>128</v>
      </c>
      <c r="D21" s="8" t="s">
        <v>14</v>
      </c>
      <c r="E21" s="11" t="s">
        <v>87</v>
      </c>
      <c r="F21" s="19" t="s">
        <v>385</v>
      </c>
    </row>
    <row r="22" spans="1:6" ht="27" customHeight="1">
      <c r="A22" s="2" t="s">
        <v>88</v>
      </c>
      <c r="B22" s="8" t="s">
        <v>127</v>
      </c>
      <c r="C22" s="8" t="s">
        <v>128</v>
      </c>
      <c r="D22" s="8" t="s">
        <v>14</v>
      </c>
      <c r="E22" s="11" t="s">
        <v>89</v>
      </c>
      <c r="F22" s="19" t="s">
        <v>385</v>
      </c>
    </row>
    <row r="23" spans="1:6" ht="27" customHeight="1">
      <c r="A23" s="2" t="s">
        <v>90</v>
      </c>
      <c r="B23" s="8" t="s">
        <v>127</v>
      </c>
      <c r="C23" s="8" t="s">
        <v>128</v>
      </c>
      <c r="D23" s="8" t="s">
        <v>14</v>
      </c>
      <c r="E23" s="11" t="s">
        <v>91</v>
      </c>
      <c r="F23" s="19" t="s">
        <v>385</v>
      </c>
    </row>
    <row r="24" spans="1:6" ht="27" customHeight="1">
      <c r="A24" s="2" t="s">
        <v>92</v>
      </c>
      <c r="B24" s="8" t="s">
        <v>127</v>
      </c>
      <c r="C24" s="8" t="s">
        <v>128</v>
      </c>
      <c r="D24" s="8" t="s">
        <v>14</v>
      </c>
      <c r="E24" s="11" t="s">
        <v>93</v>
      </c>
      <c r="F24" s="19" t="s">
        <v>385</v>
      </c>
    </row>
    <row r="25" spans="1:6" ht="27" customHeight="1">
      <c r="A25" s="2" t="s">
        <v>94</v>
      </c>
      <c r="B25" s="8" t="s">
        <v>127</v>
      </c>
      <c r="C25" s="8" t="s">
        <v>128</v>
      </c>
      <c r="D25" s="8" t="s">
        <v>14</v>
      </c>
      <c r="E25" s="11" t="s">
        <v>95</v>
      </c>
      <c r="F25" s="19" t="s">
        <v>385</v>
      </c>
    </row>
    <row r="26" spans="1:6" ht="27" customHeight="1">
      <c r="A26" s="2" t="s">
        <v>96</v>
      </c>
      <c r="B26" s="8" t="s">
        <v>127</v>
      </c>
      <c r="C26" s="8" t="s">
        <v>128</v>
      </c>
      <c r="D26" s="8" t="s">
        <v>14</v>
      </c>
      <c r="E26" s="11" t="s">
        <v>97</v>
      </c>
      <c r="F26" s="19" t="s">
        <v>385</v>
      </c>
    </row>
    <row r="27" spans="1:6" ht="27" customHeight="1">
      <c r="A27" s="2" t="s">
        <v>98</v>
      </c>
      <c r="B27" s="8" t="s">
        <v>129</v>
      </c>
      <c r="C27" s="8" t="s">
        <v>130</v>
      </c>
      <c r="D27" s="8" t="s">
        <v>11</v>
      </c>
      <c r="E27" s="11" t="s">
        <v>99</v>
      </c>
      <c r="F27" s="19" t="s">
        <v>385</v>
      </c>
    </row>
    <row r="28" spans="1:6" ht="27" customHeight="1">
      <c r="A28" s="2" t="s">
        <v>100</v>
      </c>
      <c r="B28" s="8" t="s">
        <v>129</v>
      </c>
      <c r="C28" s="8" t="s">
        <v>130</v>
      </c>
      <c r="D28" s="8" t="s">
        <v>11</v>
      </c>
      <c r="E28" s="11" t="s">
        <v>101</v>
      </c>
      <c r="F28" s="19" t="s">
        <v>385</v>
      </c>
    </row>
    <row r="29" spans="1:6" ht="27" customHeight="1">
      <c r="A29" s="2" t="s">
        <v>102</v>
      </c>
      <c r="B29" s="8" t="s">
        <v>129</v>
      </c>
      <c r="C29" s="8" t="s">
        <v>130</v>
      </c>
      <c r="D29" s="8" t="s">
        <v>11</v>
      </c>
      <c r="E29" s="11" t="s">
        <v>103</v>
      </c>
      <c r="F29" s="19" t="s">
        <v>385</v>
      </c>
    </row>
    <row r="30" spans="1:6" ht="27" customHeight="1">
      <c r="A30" s="2" t="s">
        <v>104</v>
      </c>
      <c r="B30" s="8" t="s">
        <v>129</v>
      </c>
      <c r="C30" s="8" t="s">
        <v>130</v>
      </c>
      <c r="D30" s="8" t="s">
        <v>11</v>
      </c>
      <c r="E30" s="11" t="s">
        <v>105</v>
      </c>
      <c r="F30" s="19" t="s">
        <v>385</v>
      </c>
    </row>
    <row r="31" spans="1:6" ht="27" customHeight="1">
      <c r="A31" s="2" t="s">
        <v>106</v>
      </c>
      <c r="B31" s="8" t="s">
        <v>131</v>
      </c>
      <c r="C31" s="8" t="s">
        <v>123</v>
      </c>
      <c r="D31" s="8" t="s">
        <v>7</v>
      </c>
      <c r="E31" s="11" t="s">
        <v>107</v>
      </c>
      <c r="F31" s="19" t="s">
        <v>385</v>
      </c>
    </row>
    <row r="32" spans="1:6" ht="27" customHeight="1">
      <c r="A32" s="2" t="s">
        <v>108</v>
      </c>
      <c r="B32" s="8" t="s">
        <v>132</v>
      </c>
      <c r="C32" s="8" t="s">
        <v>133</v>
      </c>
      <c r="D32" s="8" t="s">
        <v>7</v>
      </c>
      <c r="E32" s="11" t="s">
        <v>109</v>
      </c>
      <c r="F32" s="19" t="s">
        <v>385</v>
      </c>
    </row>
    <row r="33" spans="1:6" ht="27" customHeight="1">
      <c r="A33" s="2" t="s">
        <v>110</v>
      </c>
      <c r="B33" s="8" t="s">
        <v>132</v>
      </c>
      <c r="C33" s="8" t="s">
        <v>133</v>
      </c>
      <c r="D33" s="8" t="s">
        <v>7</v>
      </c>
      <c r="E33" s="11" t="s">
        <v>111</v>
      </c>
      <c r="F33" s="19" t="s">
        <v>385</v>
      </c>
    </row>
    <row r="34" spans="1:6" ht="27" customHeight="1">
      <c r="A34" s="2" t="s">
        <v>112</v>
      </c>
      <c r="B34" s="8" t="s">
        <v>132</v>
      </c>
      <c r="C34" s="8" t="s">
        <v>133</v>
      </c>
      <c r="D34" s="8" t="s">
        <v>7</v>
      </c>
      <c r="E34" s="11" t="s">
        <v>113</v>
      </c>
      <c r="F34" s="19" t="s">
        <v>385</v>
      </c>
    </row>
    <row r="35" spans="1:6" ht="27" customHeight="1">
      <c r="A35" s="2" t="s">
        <v>114</v>
      </c>
      <c r="B35" s="8" t="s">
        <v>132</v>
      </c>
      <c r="C35" s="8" t="s">
        <v>133</v>
      </c>
      <c r="D35" s="8" t="s">
        <v>7</v>
      </c>
      <c r="E35" s="11" t="s">
        <v>115</v>
      </c>
      <c r="F35" s="19" t="s">
        <v>385</v>
      </c>
    </row>
    <row r="36" spans="1:6" ht="27" customHeight="1">
      <c r="A36" s="2" t="s">
        <v>116</v>
      </c>
      <c r="B36" s="8" t="s">
        <v>132</v>
      </c>
      <c r="C36" s="8" t="s">
        <v>133</v>
      </c>
      <c r="D36" s="8" t="s">
        <v>7</v>
      </c>
      <c r="E36" s="11" t="s">
        <v>117</v>
      </c>
      <c r="F36" s="19" t="s">
        <v>385</v>
      </c>
    </row>
    <row r="37" spans="1:6" ht="27" customHeight="1">
      <c r="A37" s="2" t="s">
        <v>118</v>
      </c>
      <c r="B37" s="8" t="s">
        <v>132</v>
      </c>
      <c r="C37" s="8" t="s">
        <v>133</v>
      </c>
      <c r="D37" s="8" t="s">
        <v>7</v>
      </c>
      <c r="E37" s="11" t="s">
        <v>119</v>
      </c>
      <c r="F37" s="19" t="s">
        <v>385</v>
      </c>
    </row>
    <row r="38" spans="1:6" ht="27" customHeight="1">
      <c r="A38" s="2" t="str">
        <f>"10842022050921204782706"</f>
        <v>10842022050921204782706</v>
      </c>
      <c r="B38" s="8">
        <v>108</v>
      </c>
      <c r="C38" s="8" t="s">
        <v>134</v>
      </c>
      <c r="D38" s="8" t="s">
        <v>1</v>
      </c>
      <c r="E38" s="11" t="str">
        <f>"唐孝青"</f>
        <v>唐孝青</v>
      </c>
      <c r="F38" s="19" t="s">
        <v>385</v>
      </c>
    </row>
  </sheetData>
  <mergeCells count="1">
    <mergeCell ref="A2:F2"/>
  </mergeCells>
  <phoneticPr fontId="2" type="noConversion"/>
  <printOptions horizontalCentered="1"/>
  <pageMargins left="0.23622047244094491" right="0.23622047244094491" top="0.74803149606299213" bottom="0.74803149606299213" header="0.31496062992125984" footer="0.31496062992125984"/>
  <pageSetup paperSize="9" orientation="portrait" horizontalDpi="0" verticalDpi="0" r:id="rId1"/>
  <headerFoot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43" workbookViewId="0">
      <selection activeCell="B6" sqref="B6"/>
    </sheetView>
  </sheetViews>
  <sheetFormatPr defaultRowHeight="21.75" customHeight="1"/>
  <cols>
    <col min="1" max="1" width="12.875" style="9" customWidth="1"/>
    <col min="2" max="2" width="10.125" style="9" customWidth="1"/>
    <col min="3" max="3" width="15" style="30" customWidth="1"/>
    <col min="4" max="4" width="13" style="9" customWidth="1"/>
    <col min="5" max="5" width="9.25" style="9" customWidth="1"/>
    <col min="6" max="6" width="9.375" style="9" customWidth="1"/>
    <col min="7" max="7" width="7.875" style="9" customWidth="1"/>
    <col min="8" max="16384" width="9" style="9"/>
  </cols>
  <sheetData>
    <row r="1" spans="1:7" ht="14.25" customHeight="1">
      <c r="A1" s="9" t="s">
        <v>397</v>
      </c>
    </row>
    <row r="2" spans="1:7" ht="31.5" customHeight="1">
      <c r="A2" s="37" t="s">
        <v>398</v>
      </c>
      <c r="B2" s="37"/>
      <c r="C2" s="37"/>
      <c r="D2" s="37"/>
      <c r="E2" s="37"/>
      <c r="F2" s="37"/>
      <c r="G2" s="37"/>
    </row>
    <row r="3" spans="1:7" s="34" customFormat="1" ht="21.75" customHeight="1">
      <c r="A3" s="18" t="s">
        <v>206</v>
      </c>
      <c r="B3" s="18" t="s">
        <v>394</v>
      </c>
      <c r="C3" s="18" t="s">
        <v>395</v>
      </c>
      <c r="D3" s="18" t="s">
        <v>383</v>
      </c>
      <c r="E3" s="18" t="s">
        <v>48</v>
      </c>
      <c r="F3" s="18" t="s">
        <v>207</v>
      </c>
      <c r="G3" s="18" t="s">
        <v>396</v>
      </c>
    </row>
    <row r="4" spans="1:7" ht="21.75" customHeight="1">
      <c r="A4" s="21">
        <v>22090411886</v>
      </c>
      <c r="B4" s="11">
        <v>202</v>
      </c>
      <c r="C4" s="33" t="s">
        <v>388</v>
      </c>
      <c r="D4" s="11" t="s">
        <v>4</v>
      </c>
      <c r="E4" s="22" t="s">
        <v>208</v>
      </c>
      <c r="F4" s="23">
        <v>82.7</v>
      </c>
      <c r="G4" s="22">
        <v>1</v>
      </c>
    </row>
    <row r="5" spans="1:7" ht="21.75" customHeight="1">
      <c r="A5" s="21">
        <v>22090411873</v>
      </c>
      <c r="B5" s="11">
        <v>202</v>
      </c>
      <c r="C5" s="33" t="s">
        <v>388</v>
      </c>
      <c r="D5" s="11" t="s">
        <v>4</v>
      </c>
      <c r="E5" s="22" t="s">
        <v>209</v>
      </c>
      <c r="F5" s="23">
        <v>79.55</v>
      </c>
      <c r="G5" s="22">
        <v>2</v>
      </c>
    </row>
    <row r="6" spans="1:7" ht="21.75" customHeight="1">
      <c r="A6" s="21">
        <v>22090411992</v>
      </c>
      <c r="B6" s="11">
        <v>203</v>
      </c>
      <c r="C6" s="33" t="s">
        <v>389</v>
      </c>
      <c r="D6" s="11" t="s">
        <v>4</v>
      </c>
      <c r="E6" s="22" t="s">
        <v>210</v>
      </c>
      <c r="F6" s="23">
        <v>75.900000000000006</v>
      </c>
      <c r="G6" s="22">
        <v>1</v>
      </c>
    </row>
    <row r="7" spans="1:7" ht="21.75" customHeight="1">
      <c r="A7" s="21">
        <v>22090411983</v>
      </c>
      <c r="B7" s="11">
        <v>203</v>
      </c>
      <c r="C7" s="33" t="s">
        <v>389</v>
      </c>
      <c r="D7" s="11" t="s">
        <v>4</v>
      </c>
      <c r="E7" s="22" t="s">
        <v>211</v>
      </c>
      <c r="F7" s="23">
        <v>70.2</v>
      </c>
      <c r="G7" s="22">
        <v>2</v>
      </c>
    </row>
    <row r="8" spans="1:7" ht="21.75" customHeight="1">
      <c r="A8" s="21">
        <v>22090412013</v>
      </c>
      <c r="B8" s="11">
        <v>204</v>
      </c>
      <c r="C8" s="33" t="s">
        <v>390</v>
      </c>
      <c r="D8" s="11" t="s">
        <v>4</v>
      </c>
      <c r="E8" s="22" t="s">
        <v>212</v>
      </c>
      <c r="F8" s="23">
        <v>74.05</v>
      </c>
      <c r="G8" s="22">
        <v>1</v>
      </c>
    </row>
    <row r="9" spans="1:7" ht="21.75" customHeight="1">
      <c r="A9" s="21">
        <v>22090411827</v>
      </c>
      <c r="B9" s="11">
        <v>205</v>
      </c>
      <c r="C9" s="33" t="s">
        <v>134</v>
      </c>
      <c r="D9" s="11" t="s">
        <v>14</v>
      </c>
      <c r="E9" s="22" t="s">
        <v>213</v>
      </c>
      <c r="F9" s="23">
        <v>85.55</v>
      </c>
      <c r="G9" s="22">
        <v>1</v>
      </c>
    </row>
    <row r="10" spans="1:7" ht="21.75" customHeight="1">
      <c r="A10" s="21">
        <v>22090411824</v>
      </c>
      <c r="B10" s="11">
        <v>205</v>
      </c>
      <c r="C10" s="33" t="s">
        <v>134</v>
      </c>
      <c r="D10" s="11" t="s">
        <v>14</v>
      </c>
      <c r="E10" s="22" t="s">
        <v>214</v>
      </c>
      <c r="F10" s="23">
        <v>84.1</v>
      </c>
      <c r="G10" s="22">
        <v>2</v>
      </c>
    </row>
    <row r="11" spans="1:7" ht="21.75" customHeight="1">
      <c r="A11" s="21">
        <v>22090411844</v>
      </c>
      <c r="B11" s="11">
        <v>205</v>
      </c>
      <c r="C11" s="33" t="s">
        <v>134</v>
      </c>
      <c r="D11" s="11" t="s">
        <v>14</v>
      </c>
      <c r="E11" s="22" t="s">
        <v>215</v>
      </c>
      <c r="F11" s="23">
        <v>78.7</v>
      </c>
      <c r="G11" s="22">
        <v>3</v>
      </c>
    </row>
    <row r="12" spans="1:7" ht="21.75" customHeight="1">
      <c r="A12" s="21">
        <v>22090411833</v>
      </c>
      <c r="B12" s="11">
        <v>205</v>
      </c>
      <c r="C12" s="33" t="s">
        <v>134</v>
      </c>
      <c r="D12" s="11" t="s">
        <v>14</v>
      </c>
      <c r="E12" s="22" t="s">
        <v>216</v>
      </c>
      <c r="F12" s="23">
        <v>76.400000000000006</v>
      </c>
      <c r="G12" s="22">
        <v>4</v>
      </c>
    </row>
    <row r="13" spans="1:7" ht="21.75" customHeight="1">
      <c r="A13" s="21">
        <v>22090302353</v>
      </c>
      <c r="B13" s="11">
        <v>206</v>
      </c>
      <c r="C13" s="33" t="s">
        <v>130</v>
      </c>
      <c r="D13" s="11" t="s">
        <v>14</v>
      </c>
      <c r="E13" s="22" t="s">
        <v>217</v>
      </c>
      <c r="F13" s="23">
        <v>75.400000000000006</v>
      </c>
      <c r="G13" s="22">
        <v>1</v>
      </c>
    </row>
    <row r="14" spans="1:7" ht="21.75" customHeight="1">
      <c r="A14" s="21">
        <v>22090302368</v>
      </c>
      <c r="B14" s="11">
        <v>206</v>
      </c>
      <c r="C14" s="33" t="s">
        <v>130</v>
      </c>
      <c r="D14" s="11" t="s">
        <v>14</v>
      </c>
      <c r="E14" s="22" t="s">
        <v>218</v>
      </c>
      <c r="F14" s="23">
        <v>74.75</v>
      </c>
      <c r="G14" s="22">
        <v>2</v>
      </c>
    </row>
    <row r="15" spans="1:7" ht="21.75" customHeight="1">
      <c r="A15" s="21">
        <v>22090302376</v>
      </c>
      <c r="B15" s="11">
        <v>207</v>
      </c>
      <c r="C15" s="33" t="s">
        <v>130</v>
      </c>
      <c r="D15" s="11" t="s">
        <v>219</v>
      </c>
      <c r="E15" s="22" t="s">
        <v>220</v>
      </c>
      <c r="F15" s="23">
        <v>79.849999999999994</v>
      </c>
      <c r="G15" s="22">
        <v>1</v>
      </c>
    </row>
    <row r="16" spans="1:7" ht="21.75" customHeight="1">
      <c r="A16" s="21">
        <v>22090302366</v>
      </c>
      <c r="B16" s="11">
        <v>207</v>
      </c>
      <c r="C16" s="33" t="s">
        <v>130</v>
      </c>
      <c r="D16" s="11" t="s">
        <v>219</v>
      </c>
      <c r="E16" s="22" t="s">
        <v>221</v>
      </c>
      <c r="F16" s="23">
        <v>78.150000000000006</v>
      </c>
      <c r="G16" s="22">
        <v>2</v>
      </c>
    </row>
    <row r="17" spans="1:7" ht="21.75" customHeight="1">
      <c r="A17" s="21">
        <v>22090302396</v>
      </c>
      <c r="B17" s="11">
        <v>207</v>
      </c>
      <c r="C17" s="33" t="s">
        <v>130</v>
      </c>
      <c r="D17" s="11" t="s">
        <v>219</v>
      </c>
      <c r="E17" s="22" t="s">
        <v>222</v>
      </c>
      <c r="F17" s="23">
        <v>77.599999999999994</v>
      </c>
      <c r="G17" s="22">
        <v>3</v>
      </c>
    </row>
    <row r="18" spans="1:7" ht="21.75" customHeight="1">
      <c r="A18" s="21">
        <v>22090302413</v>
      </c>
      <c r="B18" s="11">
        <v>207</v>
      </c>
      <c r="C18" s="33" t="s">
        <v>130</v>
      </c>
      <c r="D18" s="11" t="s">
        <v>219</v>
      </c>
      <c r="E18" s="22" t="s">
        <v>223</v>
      </c>
      <c r="F18" s="23">
        <v>74.849999999999994</v>
      </c>
      <c r="G18" s="22">
        <v>4</v>
      </c>
    </row>
    <row r="19" spans="1:7" ht="21.75" customHeight="1">
      <c r="A19" s="21">
        <v>22090411752</v>
      </c>
      <c r="B19" s="11">
        <v>208</v>
      </c>
      <c r="C19" s="33" t="s">
        <v>128</v>
      </c>
      <c r="D19" s="11" t="s">
        <v>219</v>
      </c>
      <c r="E19" s="22" t="s">
        <v>224</v>
      </c>
      <c r="F19" s="23">
        <v>81.95</v>
      </c>
      <c r="G19" s="22">
        <v>1</v>
      </c>
    </row>
    <row r="20" spans="1:7" ht="21.75" customHeight="1">
      <c r="A20" s="21">
        <v>22090411721</v>
      </c>
      <c r="B20" s="11">
        <v>208</v>
      </c>
      <c r="C20" s="33" t="s">
        <v>128</v>
      </c>
      <c r="D20" s="11" t="s">
        <v>219</v>
      </c>
      <c r="E20" s="22" t="s">
        <v>225</v>
      </c>
      <c r="F20" s="23">
        <v>80</v>
      </c>
      <c r="G20" s="22">
        <v>2</v>
      </c>
    </row>
    <row r="21" spans="1:7" ht="21.75" customHeight="1">
      <c r="A21" s="21">
        <v>22090412019</v>
      </c>
      <c r="B21" s="11">
        <v>209</v>
      </c>
      <c r="C21" s="33" t="s">
        <v>390</v>
      </c>
      <c r="D21" s="11" t="s">
        <v>219</v>
      </c>
      <c r="E21" s="22" t="s">
        <v>226</v>
      </c>
      <c r="F21" s="23">
        <v>81.7</v>
      </c>
      <c r="G21" s="22">
        <v>1</v>
      </c>
    </row>
    <row r="22" spans="1:7" ht="21.75" customHeight="1">
      <c r="A22" s="21">
        <v>22090412015</v>
      </c>
      <c r="B22" s="11">
        <v>209</v>
      </c>
      <c r="C22" s="33" t="s">
        <v>390</v>
      </c>
      <c r="D22" s="11" t="s">
        <v>219</v>
      </c>
      <c r="E22" s="22" t="s">
        <v>227</v>
      </c>
      <c r="F22" s="23">
        <v>72.2</v>
      </c>
      <c r="G22" s="22">
        <v>2</v>
      </c>
    </row>
    <row r="23" spans="1:7" ht="21.75" customHeight="1">
      <c r="A23" s="21">
        <v>22090411881</v>
      </c>
      <c r="B23" s="11">
        <v>210</v>
      </c>
      <c r="C23" s="33" t="s">
        <v>388</v>
      </c>
      <c r="D23" s="11" t="s">
        <v>219</v>
      </c>
      <c r="E23" s="22" t="s">
        <v>228</v>
      </c>
      <c r="F23" s="23">
        <v>80.7</v>
      </c>
      <c r="G23" s="22">
        <v>1</v>
      </c>
    </row>
    <row r="24" spans="1:7" ht="21.75" customHeight="1">
      <c r="A24" s="21">
        <v>22090411807</v>
      </c>
      <c r="B24" s="11">
        <v>211</v>
      </c>
      <c r="C24" s="33" t="s">
        <v>133</v>
      </c>
      <c r="D24" s="11" t="s">
        <v>219</v>
      </c>
      <c r="E24" s="22" t="s">
        <v>229</v>
      </c>
      <c r="F24" s="23">
        <v>81.099999999999994</v>
      </c>
      <c r="G24" s="22">
        <v>1</v>
      </c>
    </row>
    <row r="25" spans="1:7" ht="21.75" customHeight="1">
      <c r="A25" s="21">
        <v>22090411808</v>
      </c>
      <c r="B25" s="11">
        <v>211</v>
      </c>
      <c r="C25" s="33" t="s">
        <v>133</v>
      </c>
      <c r="D25" s="11" t="s">
        <v>219</v>
      </c>
      <c r="E25" s="22" t="s">
        <v>230</v>
      </c>
      <c r="F25" s="23">
        <v>78.2</v>
      </c>
      <c r="G25" s="22">
        <v>2</v>
      </c>
    </row>
    <row r="26" spans="1:7" ht="21.75" customHeight="1">
      <c r="A26" s="21">
        <v>22090411863</v>
      </c>
      <c r="B26" s="11">
        <v>212</v>
      </c>
      <c r="C26" s="33" t="s">
        <v>123</v>
      </c>
      <c r="D26" s="11" t="s">
        <v>219</v>
      </c>
      <c r="E26" s="22" t="s">
        <v>231</v>
      </c>
      <c r="F26" s="23">
        <v>74</v>
      </c>
      <c r="G26" s="22">
        <v>1</v>
      </c>
    </row>
    <row r="27" spans="1:7" ht="21.75" customHeight="1">
      <c r="A27" s="21">
        <v>22090411847</v>
      </c>
      <c r="B27" s="11">
        <v>212</v>
      </c>
      <c r="C27" s="33" t="s">
        <v>123</v>
      </c>
      <c r="D27" s="11" t="s">
        <v>219</v>
      </c>
      <c r="E27" s="22" t="s">
        <v>232</v>
      </c>
      <c r="F27" s="23">
        <v>71.7</v>
      </c>
      <c r="G27" s="22">
        <v>2</v>
      </c>
    </row>
    <row r="28" spans="1:7" ht="21.75" customHeight="1">
      <c r="A28" s="21">
        <v>22090411993</v>
      </c>
      <c r="B28" s="11">
        <v>213</v>
      </c>
      <c r="C28" s="33" t="s">
        <v>389</v>
      </c>
      <c r="D28" s="11" t="s">
        <v>219</v>
      </c>
      <c r="E28" s="22" t="s">
        <v>233</v>
      </c>
      <c r="F28" s="23">
        <v>80.7</v>
      </c>
      <c r="G28" s="22">
        <v>1</v>
      </c>
    </row>
    <row r="29" spans="1:7" ht="21.75" customHeight="1">
      <c r="A29" s="21">
        <v>22090411999</v>
      </c>
      <c r="B29" s="11">
        <v>213</v>
      </c>
      <c r="C29" s="33" t="s">
        <v>389</v>
      </c>
      <c r="D29" s="11" t="s">
        <v>219</v>
      </c>
      <c r="E29" s="22" t="s">
        <v>234</v>
      </c>
      <c r="F29" s="23">
        <v>76.5</v>
      </c>
      <c r="G29" s="22">
        <v>2</v>
      </c>
    </row>
    <row r="30" spans="1:7" ht="21.75" customHeight="1">
      <c r="A30" s="21">
        <v>22090312271</v>
      </c>
      <c r="B30" s="11">
        <v>214</v>
      </c>
      <c r="C30" s="33" t="s">
        <v>391</v>
      </c>
      <c r="D30" s="11" t="s">
        <v>11</v>
      </c>
      <c r="E30" s="22" t="s">
        <v>235</v>
      </c>
      <c r="F30" s="23">
        <v>77.55</v>
      </c>
      <c r="G30" s="22">
        <v>1</v>
      </c>
    </row>
    <row r="31" spans="1:7" ht="21.75" customHeight="1">
      <c r="A31" s="21">
        <v>22090312291</v>
      </c>
      <c r="B31" s="11">
        <v>214</v>
      </c>
      <c r="C31" s="33" t="s">
        <v>391</v>
      </c>
      <c r="D31" s="11" t="s">
        <v>11</v>
      </c>
      <c r="E31" s="22" t="s">
        <v>236</v>
      </c>
      <c r="F31" s="23">
        <v>71.8</v>
      </c>
      <c r="G31" s="22">
        <v>2</v>
      </c>
    </row>
    <row r="32" spans="1:7" ht="21.75" customHeight="1">
      <c r="A32" s="21">
        <v>22090412011</v>
      </c>
      <c r="B32" s="11">
        <v>215</v>
      </c>
      <c r="C32" s="33" t="s">
        <v>389</v>
      </c>
      <c r="D32" s="11" t="s">
        <v>11</v>
      </c>
      <c r="E32" s="22" t="s">
        <v>237</v>
      </c>
      <c r="F32" s="23">
        <v>74.7</v>
      </c>
      <c r="G32" s="22">
        <v>1</v>
      </c>
    </row>
    <row r="33" spans="1:7" ht="21.75" customHeight="1">
      <c r="A33" s="21">
        <v>22090411988</v>
      </c>
      <c r="B33" s="11">
        <v>215</v>
      </c>
      <c r="C33" s="33" t="s">
        <v>389</v>
      </c>
      <c r="D33" s="11" t="s">
        <v>11</v>
      </c>
      <c r="E33" s="22" t="s">
        <v>238</v>
      </c>
      <c r="F33" s="23">
        <v>70.400000000000006</v>
      </c>
      <c r="G33" s="22">
        <v>2</v>
      </c>
    </row>
    <row r="34" spans="1:7" ht="21.75" customHeight="1">
      <c r="A34" s="21">
        <v>22090411858</v>
      </c>
      <c r="B34" s="11">
        <v>216</v>
      </c>
      <c r="C34" s="33" t="s">
        <v>123</v>
      </c>
      <c r="D34" s="11" t="s">
        <v>11</v>
      </c>
      <c r="E34" s="22" t="s">
        <v>239</v>
      </c>
      <c r="F34" s="23">
        <v>78.400000000000006</v>
      </c>
      <c r="G34" s="22">
        <v>1</v>
      </c>
    </row>
    <row r="35" spans="1:7" ht="21.75" customHeight="1">
      <c r="A35" s="21">
        <v>22090411855</v>
      </c>
      <c r="B35" s="11">
        <v>216</v>
      </c>
      <c r="C35" s="33" t="s">
        <v>123</v>
      </c>
      <c r="D35" s="11" t="s">
        <v>11</v>
      </c>
      <c r="E35" s="22" t="s">
        <v>240</v>
      </c>
      <c r="F35" s="23">
        <v>72.8</v>
      </c>
      <c r="G35" s="22">
        <v>2</v>
      </c>
    </row>
    <row r="36" spans="1:7" ht="21.75" customHeight="1">
      <c r="A36" s="21">
        <v>22090411903</v>
      </c>
      <c r="B36" s="11">
        <v>217</v>
      </c>
      <c r="C36" s="33" t="s">
        <v>125</v>
      </c>
      <c r="D36" s="11" t="s">
        <v>11</v>
      </c>
      <c r="E36" s="22" t="s">
        <v>241</v>
      </c>
      <c r="F36" s="23">
        <v>75.400000000000006</v>
      </c>
      <c r="G36" s="22">
        <v>1</v>
      </c>
    </row>
    <row r="37" spans="1:7" ht="21.75" customHeight="1">
      <c r="A37" s="21">
        <v>22090411913</v>
      </c>
      <c r="B37" s="11">
        <v>217</v>
      </c>
      <c r="C37" s="33" t="s">
        <v>125</v>
      </c>
      <c r="D37" s="11" t="s">
        <v>11</v>
      </c>
      <c r="E37" s="22" t="s">
        <v>242</v>
      </c>
      <c r="F37" s="23">
        <v>74.8</v>
      </c>
      <c r="G37" s="22">
        <v>2</v>
      </c>
    </row>
    <row r="38" spans="1:7" ht="21.75" customHeight="1">
      <c r="A38" s="21">
        <v>22090302373</v>
      </c>
      <c r="B38" s="11">
        <v>219</v>
      </c>
      <c r="C38" s="33" t="s">
        <v>130</v>
      </c>
      <c r="D38" s="11" t="s">
        <v>1</v>
      </c>
      <c r="E38" s="22" t="s">
        <v>243</v>
      </c>
      <c r="F38" s="23">
        <v>77.8</v>
      </c>
      <c r="G38" s="22">
        <v>1</v>
      </c>
    </row>
    <row r="39" spans="1:7" ht="21.75" customHeight="1">
      <c r="A39" s="21">
        <v>22090302405</v>
      </c>
      <c r="B39" s="11">
        <v>219</v>
      </c>
      <c r="C39" s="33" t="s">
        <v>130</v>
      </c>
      <c r="D39" s="11" t="s">
        <v>1</v>
      </c>
      <c r="E39" s="22" t="s">
        <v>244</v>
      </c>
      <c r="F39" s="23">
        <v>77.3</v>
      </c>
      <c r="G39" s="22">
        <v>2</v>
      </c>
    </row>
    <row r="40" spans="1:7" ht="21.75" customHeight="1">
      <c r="A40" s="21">
        <v>22090312253</v>
      </c>
      <c r="B40" s="11">
        <v>220</v>
      </c>
      <c r="C40" s="33" t="s">
        <v>391</v>
      </c>
      <c r="D40" s="11" t="s">
        <v>1</v>
      </c>
      <c r="E40" s="22" t="s">
        <v>245</v>
      </c>
      <c r="F40" s="23">
        <v>73.45</v>
      </c>
      <c r="G40" s="22">
        <v>1</v>
      </c>
    </row>
    <row r="41" spans="1:7" ht="21.75" customHeight="1">
      <c r="A41" s="21">
        <v>22090312256</v>
      </c>
      <c r="B41" s="11">
        <v>220</v>
      </c>
      <c r="C41" s="33" t="s">
        <v>391</v>
      </c>
      <c r="D41" s="11" t="s">
        <v>1</v>
      </c>
      <c r="E41" s="22" t="s">
        <v>246</v>
      </c>
      <c r="F41" s="23">
        <v>70.7</v>
      </c>
      <c r="G41" s="22">
        <v>2</v>
      </c>
    </row>
    <row r="42" spans="1:7" ht="21.75" customHeight="1">
      <c r="A42" s="21">
        <v>22090411556</v>
      </c>
      <c r="B42" s="11">
        <v>221</v>
      </c>
      <c r="C42" s="33" t="s">
        <v>128</v>
      </c>
      <c r="D42" s="11" t="s">
        <v>1</v>
      </c>
      <c r="E42" s="22" t="s">
        <v>247</v>
      </c>
      <c r="F42" s="23">
        <v>84.2</v>
      </c>
      <c r="G42" s="22">
        <v>1</v>
      </c>
    </row>
    <row r="43" spans="1:7" ht="21.75" customHeight="1">
      <c r="A43" s="21">
        <v>22090411665</v>
      </c>
      <c r="B43" s="11">
        <v>221</v>
      </c>
      <c r="C43" s="33" t="s">
        <v>128</v>
      </c>
      <c r="D43" s="11" t="s">
        <v>1</v>
      </c>
      <c r="E43" s="22" t="s">
        <v>248</v>
      </c>
      <c r="F43" s="23">
        <v>82.55</v>
      </c>
      <c r="G43" s="22">
        <v>2</v>
      </c>
    </row>
    <row r="44" spans="1:7" ht="21.75" customHeight="1">
      <c r="A44" s="21">
        <v>22090411703</v>
      </c>
      <c r="B44" s="11">
        <v>221</v>
      </c>
      <c r="C44" s="33" t="s">
        <v>128</v>
      </c>
      <c r="D44" s="11" t="s">
        <v>1</v>
      </c>
      <c r="E44" s="22" t="s">
        <v>249</v>
      </c>
      <c r="F44" s="23">
        <v>82.45</v>
      </c>
      <c r="G44" s="22">
        <v>3</v>
      </c>
    </row>
    <row r="45" spans="1:7" ht="21.75" customHeight="1">
      <c r="A45" s="21">
        <v>22090411765</v>
      </c>
      <c r="B45" s="11">
        <v>221</v>
      </c>
      <c r="C45" s="33" t="s">
        <v>128</v>
      </c>
      <c r="D45" s="11" t="s">
        <v>1</v>
      </c>
      <c r="E45" s="22" t="s">
        <v>250</v>
      </c>
      <c r="F45" s="23">
        <v>82.2</v>
      </c>
      <c r="G45" s="22">
        <v>4</v>
      </c>
    </row>
    <row r="46" spans="1:7" ht="21.75" customHeight="1">
      <c r="A46" s="21">
        <v>22090411533</v>
      </c>
      <c r="B46" s="11">
        <v>221</v>
      </c>
      <c r="C46" s="33" t="s">
        <v>128</v>
      </c>
      <c r="D46" s="11" t="s">
        <v>1</v>
      </c>
      <c r="E46" s="22" t="s">
        <v>251</v>
      </c>
      <c r="F46" s="23">
        <v>82.05</v>
      </c>
      <c r="G46" s="22">
        <v>5</v>
      </c>
    </row>
    <row r="47" spans="1:7" ht="21.75" customHeight="1">
      <c r="A47" s="21">
        <v>22090411605</v>
      </c>
      <c r="B47" s="11">
        <v>221</v>
      </c>
      <c r="C47" s="33" t="s">
        <v>128</v>
      </c>
      <c r="D47" s="11" t="s">
        <v>1</v>
      </c>
      <c r="E47" s="22" t="s">
        <v>252</v>
      </c>
      <c r="F47" s="23">
        <v>81.150000000000006</v>
      </c>
      <c r="G47" s="22">
        <v>6</v>
      </c>
    </row>
    <row r="48" spans="1:7" ht="21.75" customHeight="1">
      <c r="A48" s="21">
        <v>22090411875</v>
      </c>
      <c r="B48" s="11">
        <v>222</v>
      </c>
      <c r="C48" s="33" t="s">
        <v>388</v>
      </c>
      <c r="D48" s="11" t="s">
        <v>1</v>
      </c>
      <c r="E48" s="22" t="s">
        <v>253</v>
      </c>
      <c r="F48" s="23">
        <v>75.75</v>
      </c>
      <c r="G48" s="22">
        <v>1</v>
      </c>
    </row>
    <row r="49" spans="1:7" ht="21.75" customHeight="1">
      <c r="A49" s="21">
        <v>22090412033</v>
      </c>
      <c r="B49" s="11">
        <v>223</v>
      </c>
      <c r="C49" s="33" t="s">
        <v>390</v>
      </c>
      <c r="D49" s="11" t="s">
        <v>1</v>
      </c>
      <c r="E49" s="22" t="s">
        <v>254</v>
      </c>
      <c r="F49" s="23">
        <v>80.599999999999994</v>
      </c>
      <c r="G49" s="22">
        <v>1</v>
      </c>
    </row>
    <row r="50" spans="1:7" ht="21.75" customHeight="1">
      <c r="A50" s="21">
        <v>22090412018</v>
      </c>
      <c r="B50" s="11">
        <v>223</v>
      </c>
      <c r="C50" s="33" t="s">
        <v>390</v>
      </c>
      <c r="D50" s="11" t="s">
        <v>1</v>
      </c>
      <c r="E50" s="22" t="s">
        <v>255</v>
      </c>
      <c r="F50" s="23">
        <v>74.45</v>
      </c>
      <c r="G50" s="22">
        <v>2</v>
      </c>
    </row>
    <row r="51" spans="1:7" ht="21.75" customHeight="1">
      <c r="A51" s="21">
        <v>22090412028</v>
      </c>
      <c r="B51" s="11">
        <v>223</v>
      </c>
      <c r="C51" s="33" t="s">
        <v>390</v>
      </c>
      <c r="D51" s="11" t="s">
        <v>1</v>
      </c>
      <c r="E51" s="22" t="s">
        <v>256</v>
      </c>
      <c r="F51" s="23">
        <v>71.8</v>
      </c>
      <c r="G51" s="22">
        <v>3</v>
      </c>
    </row>
    <row r="52" spans="1:7" ht="21.75" customHeight="1">
      <c r="A52" s="21">
        <v>22090412029</v>
      </c>
      <c r="B52" s="11">
        <v>223</v>
      </c>
      <c r="C52" s="33" t="s">
        <v>390</v>
      </c>
      <c r="D52" s="11" t="s">
        <v>1</v>
      </c>
      <c r="E52" s="22" t="s">
        <v>257</v>
      </c>
      <c r="F52" s="23">
        <v>71.349999999999994</v>
      </c>
      <c r="G52" s="22">
        <v>4</v>
      </c>
    </row>
    <row r="53" spans="1:7" ht="21.75" customHeight="1">
      <c r="A53" s="21">
        <v>22090411935</v>
      </c>
      <c r="B53" s="11">
        <v>224</v>
      </c>
      <c r="C53" s="33" t="s">
        <v>392</v>
      </c>
      <c r="D53" s="11" t="s">
        <v>1</v>
      </c>
      <c r="E53" s="22" t="s">
        <v>258</v>
      </c>
      <c r="F53" s="23">
        <v>84.6</v>
      </c>
      <c r="G53" s="22">
        <v>1</v>
      </c>
    </row>
    <row r="54" spans="1:7" ht="21.75" customHeight="1">
      <c r="A54" s="21">
        <v>22090411946</v>
      </c>
      <c r="B54" s="11">
        <v>224</v>
      </c>
      <c r="C54" s="33" t="s">
        <v>392</v>
      </c>
      <c r="D54" s="11" t="s">
        <v>1</v>
      </c>
      <c r="E54" s="22" t="s">
        <v>259</v>
      </c>
      <c r="F54" s="23">
        <v>78.5</v>
      </c>
      <c r="G54" s="22">
        <v>2</v>
      </c>
    </row>
    <row r="55" spans="1:7" ht="21.75" customHeight="1">
      <c r="A55" s="21">
        <v>22090411975</v>
      </c>
      <c r="B55" s="11">
        <v>225</v>
      </c>
      <c r="C55" s="33" t="s">
        <v>393</v>
      </c>
      <c r="D55" s="11" t="s">
        <v>1</v>
      </c>
      <c r="E55" s="22" t="s">
        <v>260</v>
      </c>
      <c r="F55" s="23">
        <v>84.05</v>
      </c>
      <c r="G55" s="22">
        <v>1</v>
      </c>
    </row>
    <row r="56" spans="1:7" ht="21.75" customHeight="1">
      <c r="A56" s="21">
        <v>22090411974</v>
      </c>
      <c r="B56" s="11">
        <v>225</v>
      </c>
      <c r="C56" s="33" t="s">
        <v>393</v>
      </c>
      <c r="D56" s="11" t="s">
        <v>1</v>
      </c>
      <c r="E56" s="22" t="s">
        <v>261</v>
      </c>
      <c r="F56" s="23">
        <v>83.35</v>
      </c>
      <c r="G56" s="22">
        <v>2</v>
      </c>
    </row>
    <row r="57" spans="1:7" ht="21.75" customHeight="1">
      <c r="A57" s="21">
        <v>22090411984</v>
      </c>
      <c r="B57" s="11">
        <v>226</v>
      </c>
      <c r="C57" s="33" t="s">
        <v>389</v>
      </c>
      <c r="D57" s="11" t="s">
        <v>1</v>
      </c>
      <c r="E57" s="22" t="s">
        <v>262</v>
      </c>
      <c r="F57" s="23">
        <v>75.8</v>
      </c>
      <c r="G57" s="22">
        <v>1</v>
      </c>
    </row>
    <row r="58" spans="1:7" ht="21.75" customHeight="1">
      <c r="A58" s="21">
        <v>22090412005</v>
      </c>
      <c r="B58" s="11">
        <v>226</v>
      </c>
      <c r="C58" s="33" t="s">
        <v>389</v>
      </c>
      <c r="D58" s="11" t="s">
        <v>1</v>
      </c>
      <c r="E58" s="22" t="s">
        <v>263</v>
      </c>
      <c r="F58" s="23">
        <v>72.2</v>
      </c>
      <c r="G58" s="22">
        <v>2</v>
      </c>
    </row>
  </sheetData>
  <mergeCells count="1">
    <mergeCell ref="A2:G2"/>
  </mergeCells>
  <phoneticPr fontId="2" type="noConversion"/>
  <printOptions horizontalCentered="1"/>
  <pageMargins left="0.23622047244094491" right="0.23622047244094491" top="0.74803149606299213" bottom="0.74803149606299213" header="0.31496062992125984" footer="0.31496062992125984"/>
  <pageSetup paperSize="9" orientation="portrait" horizontalDpi="0" verticalDpi="0" r:id="rId1"/>
  <headerFooter>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topLeftCell="A22" workbookViewId="0">
      <selection activeCell="A35" sqref="A4:XFD35"/>
    </sheetView>
  </sheetViews>
  <sheetFormatPr defaultRowHeight="26.25" customHeight="1"/>
  <cols>
    <col min="1" max="1" width="21.75" style="9" customWidth="1"/>
    <col min="2" max="2" width="7" style="9" customWidth="1"/>
    <col min="3" max="3" width="14.125" style="9" customWidth="1"/>
    <col min="4" max="4" width="10.75" style="9" customWidth="1"/>
    <col min="5" max="5" width="9.5" style="9" customWidth="1"/>
    <col min="6" max="6" width="15" style="9" customWidth="1"/>
    <col min="7" max="16384" width="9" style="9"/>
  </cols>
  <sheetData>
    <row r="1" spans="1:6" ht="17.25" customHeight="1">
      <c r="A1" s="20" t="s">
        <v>399</v>
      </c>
    </row>
    <row r="2" spans="1:6" ht="26.25" customHeight="1">
      <c r="A2" s="37" t="s">
        <v>401</v>
      </c>
      <c r="B2" s="37"/>
      <c r="C2" s="37"/>
      <c r="D2" s="37"/>
      <c r="E2" s="37"/>
      <c r="F2" s="37"/>
    </row>
    <row r="3" spans="1:6" s="13" customFormat="1" ht="26.25" customHeight="1">
      <c r="A3" s="12" t="s">
        <v>51</v>
      </c>
      <c r="B3" s="12" t="s">
        <v>120</v>
      </c>
      <c r="C3" s="12" t="s">
        <v>121</v>
      </c>
      <c r="D3" s="12" t="s">
        <v>383</v>
      </c>
      <c r="E3" s="12" t="s">
        <v>400</v>
      </c>
      <c r="F3" s="8" t="s">
        <v>384</v>
      </c>
    </row>
    <row r="4" spans="1:6" ht="26.25" customHeight="1">
      <c r="A4" s="8" t="s">
        <v>135</v>
      </c>
      <c r="B4" s="8" t="s">
        <v>199</v>
      </c>
      <c r="C4" s="8" t="s">
        <v>200</v>
      </c>
      <c r="D4" s="8" t="s">
        <v>1</v>
      </c>
      <c r="E4" s="8" t="s">
        <v>136</v>
      </c>
      <c r="F4" s="10" t="s">
        <v>412</v>
      </c>
    </row>
    <row r="5" spans="1:6" ht="26.25" customHeight="1">
      <c r="A5" s="8" t="s">
        <v>137</v>
      </c>
      <c r="B5" s="8" t="s">
        <v>199</v>
      </c>
      <c r="C5" s="8" t="s">
        <v>200</v>
      </c>
      <c r="D5" s="8" t="s">
        <v>1</v>
      </c>
      <c r="E5" s="8" t="s">
        <v>138</v>
      </c>
      <c r="F5" s="10" t="s">
        <v>412</v>
      </c>
    </row>
    <row r="6" spans="1:6" ht="26.25" customHeight="1">
      <c r="A6" s="8" t="s">
        <v>139</v>
      </c>
      <c r="B6" s="8" t="s">
        <v>199</v>
      </c>
      <c r="C6" s="8" t="s">
        <v>200</v>
      </c>
      <c r="D6" s="8" t="s">
        <v>1</v>
      </c>
      <c r="E6" s="8" t="s">
        <v>140</v>
      </c>
      <c r="F6" s="10" t="s">
        <v>412</v>
      </c>
    </row>
    <row r="7" spans="1:6" ht="26.25" customHeight="1">
      <c r="A7" s="8" t="s">
        <v>141</v>
      </c>
      <c r="B7" s="8" t="s">
        <v>199</v>
      </c>
      <c r="C7" s="8" t="s">
        <v>200</v>
      </c>
      <c r="D7" s="8" t="s">
        <v>1</v>
      </c>
      <c r="E7" s="8" t="s">
        <v>142</v>
      </c>
      <c r="F7" s="10" t="s">
        <v>412</v>
      </c>
    </row>
    <row r="8" spans="1:6" ht="26.25" customHeight="1">
      <c r="A8" s="8" t="s">
        <v>143</v>
      </c>
      <c r="B8" s="8" t="s">
        <v>199</v>
      </c>
      <c r="C8" s="8" t="s">
        <v>200</v>
      </c>
      <c r="D8" s="8" t="s">
        <v>1</v>
      </c>
      <c r="E8" s="8" t="s">
        <v>144</v>
      </c>
      <c r="F8" s="10" t="s">
        <v>412</v>
      </c>
    </row>
    <row r="9" spans="1:6" ht="26.25" customHeight="1">
      <c r="A9" s="8" t="s">
        <v>145</v>
      </c>
      <c r="B9" s="8" t="s">
        <v>199</v>
      </c>
      <c r="C9" s="8" t="s">
        <v>200</v>
      </c>
      <c r="D9" s="8" t="s">
        <v>1</v>
      </c>
      <c r="E9" s="8" t="s">
        <v>146</v>
      </c>
      <c r="F9" s="10" t="s">
        <v>412</v>
      </c>
    </row>
    <row r="10" spans="1:6" ht="26.25" customHeight="1">
      <c r="A10" s="8" t="s">
        <v>147</v>
      </c>
      <c r="B10" s="8" t="s">
        <v>199</v>
      </c>
      <c r="C10" s="8" t="s">
        <v>200</v>
      </c>
      <c r="D10" s="8" t="s">
        <v>1</v>
      </c>
      <c r="E10" s="8" t="s">
        <v>148</v>
      </c>
      <c r="F10" s="10" t="s">
        <v>412</v>
      </c>
    </row>
    <row r="11" spans="1:6" ht="26.25" customHeight="1">
      <c r="A11" s="8" t="s">
        <v>149</v>
      </c>
      <c r="B11" s="8" t="s">
        <v>199</v>
      </c>
      <c r="C11" s="8" t="s">
        <v>200</v>
      </c>
      <c r="D11" s="8" t="s">
        <v>1</v>
      </c>
      <c r="E11" s="8" t="s">
        <v>150</v>
      </c>
      <c r="F11" s="10" t="s">
        <v>412</v>
      </c>
    </row>
    <row r="12" spans="1:6" ht="26.25" customHeight="1">
      <c r="A12" s="8" t="s">
        <v>151</v>
      </c>
      <c r="B12" s="8" t="s">
        <v>199</v>
      </c>
      <c r="C12" s="8" t="s">
        <v>200</v>
      </c>
      <c r="D12" s="8" t="s">
        <v>1</v>
      </c>
      <c r="E12" s="8" t="s">
        <v>152</v>
      </c>
      <c r="F12" s="10" t="s">
        <v>412</v>
      </c>
    </row>
    <row r="13" spans="1:6" ht="26.25" customHeight="1">
      <c r="A13" s="8" t="s">
        <v>153</v>
      </c>
      <c r="B13" s="8" t="s">
        <v>199</v>
      </c>
      <c r="C13" s="8" t="s">
        <v>200</v>
      </c>
      <c r="D13" s="8" t="s">
        <v>1</v>
      </c>
      <c r="E13" s="8" t="s">
        <v>154</v>
      </c>
      <c r="F13" s="10" t="s">
        <v>412</v>
      </c>
    </row>
    <row r="14" spans="1:6" ht="26.25" customHeight="1">
      <c r="A14" s="8" t="s">
        <v>155</v>
      </c>
      <c r="B14" s="8" t="s">
        <v>199</v>
      </c>
      <c r="C14" s="8" t="s">
        <v>200</v>
      </c>
      <c r="D14" s="8" t="s">
        <v>1</v>
      </c>
      <c r="E14" s="8" t="s">
        <v>156</v>
      </c>
      <c r="F14" s="10" t="s">
        <v>412</v>
      </c>
    </row>
    <row r="15" spans="1:6" ht="26.25" customHeight="1">
      <c r="A15" s="8" t="s">
        <v>157</v>
      </c>
      <c r="B15" s="8" t="s">
        <v>199</v>
      </c>
      <c r="C15" s="8" t="s">
        <v>200</v>
      </c>
      <c r="D15" s="8" t="s">
        <v>1</v>
      </c>
      <c r="E15" s="8" t="s">
        <v>158</v>
      </c>
      <c r="F15" s="10" t="s">
        <v>412</v>
      </c>
    </row>
    <row r="16" spans="1:6" ht="26.25" customHeight="1">
      <c r="A16" s="8" t="s">
        <v>159</v>
      </c>
      <c r="B16" s="8" t="s">
        <v>199</v>
      </c>
      <c r="C16" s="8" t="s">
        <v>200</v>
      </c>
      <c r="D16" s="8" t="s">
        <v>1</v>
      </c>
      <c r="E16" s="8" t="s">
        <v>160</v>
      </c>
      <c r="F16" s="10" t="s">
        <v>412</v>
      </c>
    </row>
    <row r="17" spans="1:6" ht="26.25" customHeight="1">
      <c r="A17" s="8" t="s">
        <v>161</v>
      </c>
      <c r="B17" s="8" t="s">
        <v>199</v>
      </c>
      <c r="C17" s="8" t="s">
        <v>200</v>
      </c>
      <c r="D17" s="8" t="s">
        <v>1</v>
      </c>
      <c r="E17" s="8" t="s">
        <v>162</v>
      </c>
      <c r="F17" s="10" t="s">
        <v>412</v>
      </c>
    </row>
    <row r="18" spans="1:6" ht="26.25" customHeight="1">
      <c r="A18" s="8" t="s">
        <v>163</v>
      </c>
      <c r="B18" s="8" t="s">
        <v>199</v>
      </c>
      <c r="C18" s="8" t="s">
        <v>200</v>
      </c>
      <c r="D18" s="8" t="s">
        <v>1</v>
      </c>
      <c r="E18" s="8" t="s">
        <v>164</v>
      </c>
      <c r="F18" s="10" t="s">
        <v>412</v>
      </c>
    </row>
    <row r="19" spans="1:6" ht="26.25" customHeight="1">
      <c r="A19" s="8" t="s">
        <v>165</v>
      </c>
      <c r="B19" s="8" t="s">
        <v>199</v>
      </c>
      <c r="C19" s="8" t="s">
        <v>200</v>
      </c>
      <c r="D19" s="8" t="s">
        <v>1</v>
      </c>
      <c r="E19" s="8" t="s">
        <v>166</v>
      </c>
      <c r="F19" s="10" t="s">
        <v>412</v>
      </c>
    </row>
    <row r="20" spans="1:6" ht="26.25" customHeight="1">
      <c r="A20" s="8" t="s">
        <v>167</v>
      </c>
      <c r="B20" s="8" t="s">
        <v>199</v>
      </c>
      <c r="C20" s="8" t="s">
        <v>200</v>
      </c>
      <c r="D20" s="8" t="s">
        <v>1</v>
      </c>
      <c r="E20" s="8" t="s">
        <v>168</v>
      </c>
      <c r="F20" s="10" t="s">
        <v>412</v>
      </c>
    </row>
    <row r="21" spans="1:6" ht="26.25" customHeight="1">
      <c r="A21" s="8" t="s">
        <v>169</v>
      </c>
      <c r="B21" s="8" t="s">
        <v>199</v>
      </c>
      <c r="C21" s="8" t="s">
        <v>200</v>
      </c>
      <c r="D21" s="8" t="s">
        <v>1</v>
      </c>
      <c r="E21" s="8" t="s">
        <v>170</v>
      </c>
      <c r="F21" s="10" t="s">
        <v>412</v>
      </c>
    </row>
    <row r="22" spans="1:6" ht="26.25" customHeight="1">
      <c r="A22" s="8" t="s">
        <v>171</v>
      </c>
      <c r="B22" s="8" t="s">
        <v>199</v>
      </c>
      <c r="C22" s="8" t="s">
        <v>200</v>
      </c>
      <c r="D22" s="8" t="s">
        <v>1</v>
      </c>
      <c r="E22" s="8" t="s">
        <v>172</v>
      </c>
      <c r="F22" s="10" t="s">
        <v>412</v>
      </c>
    </row>
    <row r="23" spans="1:6" ht="26.25" customHeight="1">
      <c r="A23" s="8" t="s">
        <v>173</v>
      </c>
      <c r="B23" s="8" t="s">
        <v>201</v>
      </c>
      <c r="C23" s="8" t="s">
        <v>202</v>
      </c>
      <c r="D23" s="8" t="s">
        <v>1</v>
      </c>
      <c r="E23" s="8" t="s">
        <v>174</v>
      </c>
      <c r="F23" s="10" t="s">
        <v>412</v>
      </c>
    </row>
    <row r="24" spans="1:6" ht="26.25" customHeight="1">
      <c r="A24" s="8" t="s">
        <v>175</v>
      </c>
      <c r="B24" s="8" t="s">
        <v>201</v>
      </c>
      <c r="C24" s="8" t="s">
        <v>202</v>
      </c>
      <c r="D24" s="8" t="s">
        <v>1</v>
      </c>
      <c r="E24" s="8" t="s">
        <v>176</v>
      </c>
      <c r="F24" s="10" t="s">
        <v>412</v>
      </c>
    </row>
    <row r="25" spans="1:6" ht="26.25" customHeight="1">
      <c r="A25" s="8" t="s">
        <v>177</v>
      </c>
      <c r="B25" s="8" t="s">
        <v>201</v>
      </c>
      <c r="C25" s="8" t="s">
        <v>202</v>
      </c>
      <c r="D25" s="8" t="s">
        <v>1</v>
      </c>
      <c r="E25" s="8" t="s">
        <v>178</v>
      </c>
      <c r="F25" s="10" t="s">
        <v>412</v>
      </c>
    </row>
    <row r="26" spans="1:6" ht="26.25" customHeight="1">
      <c r="A26" s="8" t="s">
        <v>179</v>
      </c>
      <c r="B26" s="8" t="s">
        <v>201</v>
      </c>
      <c r="C26" s="8" t="s">
        <v>202</v>
      </c>
      <c r="D26" s="8" t="s">
        <v>1</v>
      </c>
      <c r="E26" s="8" t="s">
        <v>180</v>
      </c>
      <c r="F26" s="10" t="s">
        <v>412</v>
      </c>
    </row>
    <row r="27" spans="1:6" ht="26.25" customHeight="1">
      <c r="A27" s="8" t="s">
        <v>181</v>
      </c>
      <c r="B27" s="8" t="s">
        <v>201</v>
      </c>
      <c r="C27" s="8" t="s">
        <v>202</v>
      </c>
      <c r="D27" s="8" t="s">
        <v>1</v>
      </c>
      <c r="E27" s="8" t="s">
        <v>182</v>
      </c>
      <c r="F27" s="10" t="s">
        <v>412</v>
      </c>
    </row>
    <row r="28" spans="1:6" ht="26.25" customHeight="1">
      <c r="A28" s="8" t="s">
        <v>183</v>
      </c>
      <c r="B28" s="8" t="s">
        <v>201</v>
      </c>
      <c r="C28" s="8" t="s">
        <v>202</v>
      </c>
      <c r="D28" s="8" t="s">
        <v>1</v>
      </c>
      <c r="E28" s="8" t="s">
        <v>184</v>
      </c>
      <c r="F28" s="10" t="s">
        <v>412</v>
      </c>
    </row>
    <row r="29" spans="1:6" ht="26.25" customHeight="1">
      <c r="A29" s="8" t="s">
        <v>185</v>
      </c>
      <c r="B29" s="8" t="s">
        <v>201</v>
      </c>
      <c r="C29" s="8" t="s">
        <v>202</v>
      </c>
      <c r="D29" s="8" t="s">
        <v>1</v>
      </c>
      <c r="E29" s="8" t="s">
        <v>186</v>
      </c>
      <c r="F29" s="10" t="s">
        <v>412</v>
      </c>
    </row>
    <row r="30" spans="1:6" ht="26.25" customHeight="1">
      <c r="A30" s="8" t="s">
        <v>187</v>
      </c>
      <c r="B30" s="8" t="s">
        <v>201</v>
      </c>
      <c r="C30" s="8" t="s">
        <v>202</v>
      </c>
      <c r="D30" s="8" t="s">
        <v>1</v>
      </c>
      <c r="E30" s="8" t="s">
        <v>188</v>
      </c>
      <c r="F30" s="10" t="s">
        <v>412</v>
      </c>
    </row>
    <row r="31" spans="1:6" ht="26.25" customHeight="1">
      <c r="A31" s="8" t="s">
        <v>189</v>
      </c>
      <c r="B31" s="8" t="s">
        <v>203</v>
      </c>
      <c r="C31" s="8" t="s">
        <v>204</v>
      </c>
      <c r="D31" s="8" t="s">
        <v>1</v>
      </c>
      <c r="E31" s="8" t="s">
        <v>190</v>
      </c>
      <c r="F31" s="10" t="s">
        <v>412</v>
      </c>
    </row>
    <row r="32" spans="1:6" ht="26.25" customHeight="1">
      <c r="A32" s="8" t="s">
        <v>191</v>
      </c>
      <c r="B32" s="8" t="s">
        <v>203</v>
      </c>
      <c r="C32" s="8" t="s">
        <v>204</v>
      </c>
      <c r="D32" s="8" t="s">
        <v>1</v>
      </c>
      <c r="E32" s="8" t="s">
        <v>192</v>
      </c>
      <c r="F32" s="10" t="s">
        <v>412</v>
      </c>
    </row>
    <row r="33" spans="1:6" ht="26.25" customHeight="1">
      <c r="A33" s="8" t="s">
        <v>193</v>
      </c>
      <c r="B33" s="8" t="s">
        <v>203</v>
      </c>
      <c r="C33" s="8" t="s">
        <v>204</v>
      </c>
      <c r="D33" s="8" t="s">
        <v>1</v>
      </c>
      <c r="E33" s="8" t="s">
        <v>194</v>
      </c>
      <c r="F33" s="10" t="s">
        <v>412</v>
      </c>
    </row>
    <row r="34" spans="1:6" ht="26.25" customHeight="1">
      <c r="A34" s="8" t="s">
        <v>195</v>
      </c>
      <c r="B34" s="8" t="s">
        <v>203</v>
      </c>
      <c r="C34" s="8" t="s">
        <v>204</v>
      </c>
      <c r="D34" s="8" t="s">
        <v>1</v>
      </c>
      <c r="E34" s="8" t="s">
        <v>196</v>
      </c>
      <c r="F34" s="10" t="s">
        <v>412</v>
      </c>
    </row>
    <row r="35" spans="1:6" ht="26.25" customHeight="1">
      <c r="A35" s="8" t="s">
        <v>197</v>
      </c>
      <c r="B35" s="8" t="s">
        <v>203</v>
      </c>
      <c r="C35" s="8" t="s">
        <v>204</v>
      </c>
      <c r="D35" s="8" t="s">
        <v>1</v>
      </c>
      <c r="E35" s="8" t="s">
        <v>198</v>
      </c>
      <c r="F35" s="10" t="s">
        <v>412</v>
      </c>
    </row>
  </sheetData>
  <mergeCells count="1">
    <mergeCell ref="A2:F2"/>
  </mergeCells>
  <phoneticPr fontId="2" type="noConversion"/>
  <printOptions horizontalCentered="1"/>
  <pageMargins left="0.23622047244094491" right="0.23622047244094491" top="0.74803149606299213" bottom="0.74803149606299213" header="0.31496062992125984" footer="0.31496062992125984"/>
  <pageSetup paperSize="9" orientation="portrait" horizontalDpi="0" verticalDpi="0" r:id="rId1"/>
  <headerFooter>
    <oddFooter>&amp;C&amp;P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selection activeCell="G65" sqref="G65"/>
    </sheetView>
  </sheetViews>
  <sheetFormatPr defaultRowHeight="24" customHeight="1"/>
  <cols>
    <col min="1" max="1" width="12.5" style="9" customWidth="1"/>
    <col min="2" max="2" width="7.875" style="9" customWidth="1"/>
    <col min="3" max="3" width="12.375" style="9" customWidth="1"/>
    <col min="4" max="4" width="21" style="9" customWidth="1"/>
    <col min="5" max="5" width="8.125" style="9" customWidth="1"/>
    <col min="6" max="6" width="9.75" style="9" customWidth="1"/>
    <col min="7" max="7" width="7.625" style="9" customWidth="1"/>
    <col min="8" max="16384" width="9" style="9"/>
  </cols>
  <sheetData>
    <row r="1" spans="1:7" ht="18.75" customHeight="1">
      <c r="A1" s="9" t="s">
        <v>402</v>
      </c>
    </row>
    <row r="2" spans="1:7" ht="24" customHeight="1">
      <c r="A2" s="38" t="s">
        <v>403</v>
      </c>
      <c r="B2" s="38"/>
      <c r="C2" s="38"/>
      <c r="D2" s="38"/>
      <c r="E2" s="38"/>
      <c r="F2" s="38"/>
      <c r="G2" s="38"/>
    </row>
    <row r="3" spans="1:7" s="14" customFormat="1" ht="24" customHeight="1">
      <c r="A3" s="12" t="s">
        <v>206</v>
      </c>
      <c r="B3" s="12" t="s">
        <v>120</v>
      </c>
      <c r="C3" s="12" t="s">
        <v>121</v>
      </c>
      <c r="D3" s="12" t="s">
        <v>205</v>
      </c>
      <c r="E3" s="12" t="s">
        <v>48</v>
      </c>
      <c r="F3" s="12" t="s">
        <v>207</v>
      </c>
      <c r="G3" s="12" t="s">
        <v>396</v>
      </c>
    </row>
    <row r="4" spans="1:7" ht="24" customHeight="1">
      <c r="A4" s="15">
        <v>22090301518</v>
      </c>
      <c r="B4" s="8" t="s">
        <v>372</v>
      </c>
      <c r="C4" s="8" t="s">
        <v>373</v>
      </c>
      <c r="D4" s="8" t="s">
        <v>264</v>
      </c>
      <c r="E4" s="16" t="s">
        <v>265</v>
      </c>
      <c r="F4" s="17">
        <v>84.5</v>
      </c>
      <c r="G4" s="16">
        <v>1</v>
      </c>
    </row>
    <row r="5" spans="1:7" ht="24" customHeight="1">
      <c r="A5" s="15">
        <v>22090301294</v>
      </c>
      <c r="B5" s="8" t="s">
        <v>372</v>
      </c>
      <c r="C5" s="8" t="s">
        <v>373</v>
      </c>
      <c r="D5" s="8" t="s">
        <v>264</v>
      </c>
      <c r="E5" s="16" t="s">
        <v>266</v>
      </c>
      <c r="F5" s="17">
        <v>81.45</v>
      </c>
      <c r="G5" s="16">
        <v>2</v>
      </c>
    </row>
    <row r="6" spans="1:7" ht="24" customHeight="1">
      <c r="A6" s="15">
        <v>22090301919</v>
      </c>
      <c r="B6" s="8" t="s">
        <v>372</v>
      </c>
      <c r="C6" s="8" t="s">
        <v>373</v>
      </c>
      <c r="D6" s="8" t="s">
        <v>264</v>
      </c>
      <c r="E6" s="16" t="s">
        <v>267</v>
      </c>
      <c r="F6" s="17">
        <v>80.75</v>
      </c>
      <c r="G6" s="16">
        <v>3</v>
      </c>
    </row>
    <row r="7" spans="1:7" ht="24" customHeight="1">
      <c r="A7" s="15">
        <v>22090301803</v>
      </c>
      <c r="B7" s="8" t="s">
        <v>372</v>
      </c>
      <c r="C7" s="8" t="s">
        <v>373</v>
      </c>
      <c r="D7" s="8" t="s">
        <v>264</v>
      </c>
      <c r="E7" s="16" t="s">
        <v>268</v>
      </c>
      <c r="F7" s="17">
        <v>80.7</v>
      </c>
      <c r="G7" s="16">
        <v>4</v>
      </c>
    </row>
    <row r="8" spans="1:7" ht="24" customHeight="1">
      <c r="A8" s="15">
        <v>22090301649</v>
      </c>
      <c r="B8" s="8" t="s">
        <v>372</v>
      </c>
      <c r="C8" s="8" t="s">
        <v>373</v>
      </c>
      <c r="D8" s="8" t="s">
        <v>264</v>
      </c>
      <c r="E8" s="16" t="s">
        <v>269</v>
      </c>
      <c r="F8" s="17">
        <v>80.25</v>
      </c>
      <c r="G8" s="16">
        <v>5</v>
      </c>
    </row>
    <row r="9" spans="1:7" ht="24" customHeight="1">
      <c r="A9" s="15">
        <v>22090302010</v>
      </c>
      <c r="B9" s="8" t="s">
        <v>372</v>
      </c>
      <c r="C9" s="8" t="s">
        <v>373</v>
      </c>
      <c r="D9" s="8" t="s">
        <v>264</v>
      </c>
      <c r="E9" s="16" t="s">
        <v>270</v>
      </c>
      <c r="F9" s="17">
        <v>79.099999999999994</v>
      </c>
      <c r="G9" s="16">
        <v>6</v>
      </c>
    </row>
    <row r="10" spans="1:7" ht="24" customHeight="1">
      <c r="A10" s="15">
        <v>22090301588</v>
      </c>
      <c r="B10" s="8" t="s">
        <v>372</v>
      </c>
      <c r="C10" s="8" t="s">
        <v>373</v>
      </c>
      <c r="D10" s="8" t="s">
        <v>264</v>
      </c>
      <c r="E10" s="16" t="s">
        <v>271</v>
      </c>
      <c r="F10" s="17">
        <v>79</v>
      </c>
      <c r="G10" s="16">
        <v>7</v>
      </c>
    </row>
    <row r="11" spans="1:7" ht="24" customHeight="1">
      <c r="A11" s="15">
        <v>22090302027</v>
      </c>
      <c r="B11" s="8" t="s">
        <v>372</v>
      </c>
      <c r="C11" s="8" t="s">
        <v>373</v>
      </c>
      <c r="D11" s="8" t="s">
        <v>264</v>
      </c>
      <c r="E11" s="16" t="s">
        <v>272</v>
      </c>
      <c r="F11" s="17">
        <v>78.849999999999994</v>
      </c>
      <c r="G11" s="16">
        <v>8</v>
      </c>
    </row>
    <row r="12" spans="1:7" ht="24" customHeight="1">
      <c r="A12" s="15">
        <v>22090300022</v>
      </c>
      <c r="B12" s="8" t="s">
        <v>372</v>
      </c>
      <c r="C12" s="8" t="s">
        <v>373</v>
      </c>
      <c r="D12" s="8" t="s">
        <v>264</v>
      </c>
      <c r="E12" s="16" t="s">
        <v>273</v>
      </c>
      <c r="F12" s="17">
        <v>78.75</v>
      </c>
      <c r="G12" s="16">
        <v>9</v>
      </c>
    </row>
    <row r="13" spans="1:7" ht="24" customHeight="1">
      <c r="A13" s="15">
        <v>22090300226</v>
      </c>
      <c r="B13" s="8" t="s">
        <v>372</v>
      </c>
      <c r="C13" s="8" t="s">
        <v>373</v>
      </c>
      <c r="D13" s="8" t="s">
        <v>264</v>
      </c>
      <c r="E13" s="16" t="s">
        <v>274</v>
      </c>
      <c r="F13" s="17">
        <v>78.599999999999994</v>
      </c>
      <c r="G13" s="16">
        <v>10</v>
      </c>
    </row>
    <row r="14" spans="1:7" ht="24" customHeight="1">
      <c r="A14" s="15">
        <v>22090301262</v>
      </c>
      <c r="B14" s="8" t="s">
        <v>372</v>
      </c>
      <c r="C14" s="8" t="s">
        <v>373</v>
      </c>
      <c r="D14" s="8" t="s">
        <v>264</v>
      </c>
      <c r="E14" s="16" t="s">
        <v>275</v>
      </c>
      <c r="F14" s="17">
        <v>78.55</v>
      </c>
      <c r="G14" s="16">
        <v>11</v>
      </c>
    </row>
    <row r="15" spans="1:7" ht="24" customHeight="1">
      <c r="A15" s="15">
        <v>22090302262</v>
      </c>
      <c r="B15" s="8" t="s">
        <v>372</v>
      </c>
      <c r="C15" s="8" t="s">
        <v>373</v>
      </c>
      <c r="D15" s="8" t="s">
        <v>264</v>
      </c>
      <c r="E15" s="16" t="s">
        <v>276</v>
      </c>
      <c r="F15" s="17">
        <v>78.349999999999994</v>
      </c>
      <c r="G15" s="16">
        <v>12</v>
      </c>
    </row>
    <row r="16" spans="1:7" ht="24" customHeight="1">
      <c r="A16" s="15">
        <v>22090301988</v>
      </c>
      <c r="B16" s="8" t="s">
        <v>372</v>
      </c>
      <c r="C16" s="8" t="s">
        <v>373</v>
      </c>
      <c r="D16" s="8" t="s">
        <v>264</v>
      </c>
      <c r="E16" s="16" t="s">
        <v>277</v>
      </c>
      <c r="F16" s="17">
        <v>78.150000000000006</v>
      </c>
      <c r="G16" s="16">
        <v>13</v>
      </c>
    </row>
    <row r="17" spans="1:7" ht="24" customHeight="1">
      <c r="A17" s="15">
        <v>22090300066</v>
      </c>
      <c r="B17" s="8" t="s">
        <v>372</v>
      </c>
      <c r="C17" s="8" t="s">
        <v>373</v>
      </c>
      <c r="D17" s="8" t="s">
        <v>264</v>
      </c>
      <c r="E17" s="16" t="s">
        <v>278</v>
      </c>
      <c r="F17" s="17">
        <v>77.95</v>
      </c>
      <c r="G17" s="16">
        <v>14</v>
      </c>
    </row>
    <row r="18" spans="1:7" ht="24" customHeight="1">
      <c r="A18" s="15">
        <v>22090301906</v>
      </c>
      <c r="B18" s="8" t="s">
        <v>372</v>
      </c>
      <c r="C18" s="8" t="s">
        <v>373</v>
      </c>
      <c r="D18" s="8" t="s">
        <v>264</v>
      </c>
      <c r="E18" s="16" t="s">
        <v>279</v>
      </c>
      <c r="F18" s="17">
        <v>77.3</v>
      </c>
      <c r="G18" s="16">
        <v>15</v>
      </c>
    </row>
    <row r="19" spans="1:7" ht="24" customHeight="1">
      <c r="A19" s="15">
        <v>22090302111</v>
      </c>
      <c r="B19" s="8" t="s">
        <v>372</v>
      </c>
      <c r="C19" s="8" t="s">
        <v>373</v>
      </c>
      <c r="D19" s="8" t="s">
        <v>264</v>
      </c>
      <c r="E19" s="16" t="s">
        <v>280</v>
      </c>
      <c r="F19" s="17">
        <v>76.900000000000006</v>
      </c>
      <c r="G19" s="16">
        <v>16</v>
      </c>
    </row>
    <row r="20" spans="1:7" ht="24" customHeight="1">
      <c r="A20" s="15">
        <v>22090300781</v>
      </c>
      <c r="B20" s="8" t="s">
        <v>372</v>
      </c>
      <c r="C20" s="8" t="s">
        <v>373</v>
      </c>
      <c r="D20" s="8" t="s">
        <v>264</v>
      </c>
      <c r="E20" s="16" t="s">
        <v>281</v>
      </c>
      <c r="F20" s="17">
        <v>76.75</v>
      </c>
      <c r="G20" s="16">
        <v>17</v>
      </c>
    </row>
    <row r="21" spans="1:7" ht="24" customHeight="1">
      <c r="A21" s="15">
        <v>22090301044</v>
      </c>
      <c r="B21" s="8" t="s">
        <v>372</v>
      </c>
      <c r="C21" s="8" t="s">
        <v>373</v>
      </c>
      <c r="D21" s="8" t="s">
        <v>264</v>
      </c>
      <c r="E21" s="16" t="s">
        <v>282</v>
      </c>
      <c r="F21" s="17">
        <v>76.75</v>
      </c>
      <c r="G21" s="16">
        <v>17</v>
      </c>
    </row>
    <row r="22" spans="1:7" ht="24" customHeight="1">
      <c r="A22" s="15">
        <v>22090301593</v>
      </c>
      <c r="B22" s="8" t="s">
        <v>372</v>
      </c>
      <c r="C22" s="8" t="s">
        <v>373</v>
      </c>
      <c r="D22" s="8" t="s">
        <v>264</v>
      </c>
      <c r="E22" s="16" t="s">
        <v>283</v>
      </c>
      <c r="F22" s="17">
        <v>76.55</v>
      </c>
      <c r="G22" s="16">
        <v>19</v>
      </c>
    </row>
    <row r="23" spans="1:7" ht="24" customHeight="1">
      <c r="A23" s="15">
        <v>22090300054</v>
      </c>
      <c r="B23" s="8" t="s">
        <v>372</v>
      </c>
      <c r="C23" s="8" t="s">
        <v>373</v>
      </c>
      <c r="D23" s="8" t="s">
        <v>264</v>
      </c>
      <c r="E23" s="16" t="s">
        <v>284</v>
      </c>
      <c r="F23" s="17">
        <v>76.5</v>
      </c>
      <c r="G23" s="16">
        <v>20</v>
      </c>
    </row>
    <row r="24" spans="1:7" ht="24" customHeight="1">
      <c r="A24" s="15">
        <v>22090301787</v>
      </c>
      <c r="B24" s="8" t="s">
        <v>372</v>
      </c>
      <c r="C24" s="8" t="s">
        <v>373</v>
      </c>
      <c r="D24" s="8" t="s">
        <v>264</v>
      </c>
      <c r="E24" s="16" t="s">
        <v>285</v>
      </c>
      <c r="F24" s="17">
        <v>76.5</v>
      </c>
      <c r="G24" s="16">
        <v>20</v>
      </c>
    </row>
    <row r="25" spans="1:7" ht="24" customHeight="1">
      <c r="A25" s="15">
        <v>22090302196</v>
      </c>
      <c r="B25" s="8" t="s">
        <v>372</v>
      </c>
      <c r="C25" s="8" t="s">
        <v>373</v>
      </c>
      <c r="D25" s="8" t="s">
        <v>264</v>
      </c>
      <c r="E25" s="16" t="s">
        <v>286</v>
      </c>
      <c r="F25" s="17">
        <v>76.25</v>
      </c>
      <c r="G25" s="16">
        <v>22</v>
      </c>
    </row>
    <row r="26" spans="1:7" ht="24" customHeight="1">
      <c r="A26" s="15">
        <v>22090300024</v>
      </c>
      <c r="B26" s="8" t="s">
        <v>372</v>
      </c>
      <c r="C26" s="8" t="s">
        <v>373</v>
      </c>
      <c r="D26" s="8" t="s">
        <v>264</v>
      </c>
      <c r="E26" s="16" t="s">
        <v>287</v>
      </c>
      <c r="F26" s="17">
        <v>76.2</v>
      </c>
      <c r="G26" s="16">
        <v>23</v>
      </c>
    </row>
    <row r="27" spans="1:7" ht="24" customHeight="1">
      <c r="A27" s="15">
        <v>22090300337</v>
      </c>
      <c r="B27" s="8" t="s">
        <v>372</v>
      </c>
      <c r="C27" s="8" t="s">
        <v>373</v>
      </c>
      <c r="D27" s="8" t="s">
        <v>264</v>
      </c>
      <c r="E27" s="16" t="s">
        <v>288</v>
      </c>
      <c r="F27" s="17">
        <v>75.95</v>
      </c>
      <c r="G27" s="16">
        <v>24</v>
      </c>
    </row>
    <row r="28" spans="1:7" ht="24" customHeight="1">
      <c r="A28" s="15">
        <v>22090301580</v>
      </c>
      <c r="B28" s="8" t="s">
        <v>372</v>
      </c>
      <c r="C28" s="8" t="s">
        <v>373</v>
      </c>
      <c r="D28" s="8" t="s">
        <v>264</v>
      </c>
      <c r="E28" s="16" t="s">
        <v>289</v>
      </c>
      <c r="F28" s="17">
        <v>75.849999999999994</v>
      </c>
      <c r="G28" s="16">
        <v>25</v>
      </c>
    </row>
    <row r="29" spans="1:7" ht="24" customHeight="1">
      <c r="A29" s="15">
        <v>22090301080</v>
      </c>
      <c r="B29" s="8" t="s">
        <v>372</v>
      </c>
      <c r="C29" s="8" t="s">
        <v>373</v>
      </c>
      <c r="D29" s="8" t="s">
        <v>264</v>
      </c>
      <c r="E29" s="16" t="s">
        <v>290</v>
      </c>
      <c r="F29" s="17">
        <v>75.75</v>
      </c>
      <c r="G29" s="16">
        <v>26</v>
      </c>
    </row>
    <row r="30" spans="1:7" ht="24" customHeight="1">
      <c r="A30" s="15">
        <v>22090301235</v>
      </c>
      <c r="B30" s="8" t="s">
        <v>372</v>
      </c>
      <c r="C30" s="8" t="s">
        <v>373</v>
      </c>
      <c r="D30" s="8" t="s">
        <v>264</v>
      </c>
      <c r="E30" s="16" t="s">
        <v>291</v>
      </c>
      <c r="F30" s="17">
        <v>75.75</v>
      </c>
      <c r="G30" s="16">
        <v>26</v>
      </c>
    </row>
    <row r="31" spans="1:7" ht="24" customHeight="1">
      <c r="A31" s="15">
        <v>22090301959</v>
      </c>
      <c r="B31" s="8" t="s">
        <v>372</v>
      </c>
      <c r="C31" s="8" t="s">
        <v>373</v>
      </c>
      <c r="D31" s="8" t="s">
        <v>264</v>
      </c>
      <c r="E31" s="16" t="s">
        <v>292</v>
      </c>
      <c r="F31" s="17">
        <v>75.7</v>
      </c>
      <c r="G31" s="16">
        <v>28</v>
      </c>
    </row>
    <row r="32" spans="1:7" ht="24" customHeight="1">
      <c r="A32" s="15">
        <v>22090300632</v>
      </c>
      <c r="B32" s="8" t="s">
        <v>372</v>
      </c>
      <c r="C32" s="8" t="s">
        <v>373</v>
      </c>
      <c r="D32" s="8" t="s">
        <v>264</v>
      </c>
      <c r="E32" s="16" t="s">
        <v>293</v>
      </c>
      <c r="F32" s="17">
        <v>75.599999999999994</v>
      </c>
      <c r="G32" s="16">
        <v>29</v>
      </c>
    </row>
    <row r="33" spans="1:7" ht="24" customHeight="1">
      <c r="A33" s="15">
        <v>22090301447</v>
      </c>
      <c r="B33" s="8" t="s">
        <v>372</v>
      </c>
      <c r="C33" s="8" t="s">
        <v>373</v>
      </c>
      <c r="D33" s="8" t="s">
        <v>264</v>
      </c>
      <c r="E33" s="16" t="s">
        <v>294</v>
      </c>
      <c r="F33" s="17">
        <v>75.55</v>
      </c>
      <c r="G33" s="16">
        <v>30</v>
      </c>
    </row>
    <row r="34" spans="1:7" ht="24" customHeight="1">
      <c r="A34" s="15">
        <v>22090301969</v>
      </c>
      <c r="B34" s="8" t="s">
        <v>372</v>
      </c>
      <c r="C34" s="8" t="s">
        <v>373</v>
      </c>
      <c r="D34" s="8" t="s">
        <v>264</v>
      </c>
      <c r="E34" s="16" t="s">
        <v>295</v>
      </c>
      <c r="F34" s="17">
        <v>75.55</v>
      </c>
      <c r="G34" s="16">
        <v>30</v>
      </c>
    </row>
    <row r="35" spans="1:7" ht="24" customHeight="1">
      <c r="A35" s="15">
        <v>22090310459</v>
      </c>
      <c r="B35" s="8" t="s">
        <v>374</v>
      </c>
      <c r="C35" s="8" t="s">
        <v>375</v>
      </c>
      <c r="D35" s="8" t="s">
        <v>264</v>
      </c>
      <c r="E35" s="16" t="s">
        <v>296</v>
      </c>
      <c r="F35" s="17">
        <v>86.4</v>
      </c>
      <c r="G35" s="16">
        <v>1</v>
      </c>
    </row>
    <row r="36" spans="1:7" ht="24" customHeight="1">
      <c r="A36" s="15">
        <v>22090310649</v>
      </c>
      <c r="B36" s="8" t="s">
        <v>374</v>
      </c>
      <c r="C36" s="8" t="s">
        <v>375</v>
      </c>
      <c r="D36" s="8" t="s">
        <v>264</v>
      </c>
      <c r="E36" s="16" t="s">
        <v>297</v>
      </c>
      <c r="F36" s="17">
        <v>85.5</v>
      </c>
      <c r="G36" s="16">
        <v>2</v>
      </c>
    </row>
    <row r="37" spans="1:7" ht="24" customHeight="1">
      <c r="A37" s="15">
        <v>22090311818</v>
      </c>
      <c r="B37" s="8" t="s">
        <v>374</v>
      </c>
      <c r="C37" s="8" t="s">
        <v>375</v>
      </c>
      <c r="D37" s="8" t="s">
        <v>264</v>
      </c>
      <c r="E37" s="16" t="s">
        <v>298</v>
      </c>
      <c r="F37" s="17">
        <v>84.75</v>
      </c>
      <c r="G37" s="16">
        <v>3</v>
      </c>
    </row>
    <row r="38" spans="1:7" ht="24" customHeight="1">
      <c r="A38" s="15">
        <v>22090312187</v>
      </c>
      <c r="B38" s="8" t="s">
        <v>374</v>
      </c>
      <c r="C38" s="8" t="s">
        <v>375</v>
      </c>
      <c r="D38" s="8" t="s">
        <v>264</v>
      </c>
      <c r="E38" s="16" t="s">
        <v>299</v>
      </c>
      <c r="F38" s="17">
        <v>83.45</v>
      </c>
      <c r="G38" s="16">
        <v>4</v>
      </c>
    </row>
    <row r="39" spans="1:7" ht="24" customHeight="1">
      <c r="A39" s="15">
        <v>22090310792</v>
      </c>
      <c r="B39" s="8" t="s">
        <v>374</v>
      </c>
      <c r="C39" s="8" t="s">
        <v>375</v>
      </c>
      <c r="D39" s="8" t="s">
        <v>264</v>
      </c>
      <c r="E39" s="16" t="s">
        <v>300</v>
      </c>
      <c r="F39" s="17">
        <v>83.15</v>
      </c>
      <c r="G39" s="16">
        <v>5</v>
      </c>
    </row>
    <row r="40" spans="1:7" ht="24" customHeight="1">
      <c r="A40" s="15">
        <v>22090310475</v>
      </c>
      <c r="B40" s="8" t="s">
        <v>374</v>
      </c>
      <c r="C40" s="8" t="s">
        <v>375</v>
      </c>
      <c r="D40" s="8" t="s">
        <v>264</v>
      </c>
      <c r="E40" s="16" t="s">
        <v>301</v>
      </c>
      <c r="F40" s="17">
        <v>82.65</v>
      </c>
      <c r="G40" s="16">
        <v>6</v>
      </c>
    </row>
    <row r="41" spans="1:7" ht="24" customHeight="1">
      <c r="A41" s="15">
        <v>22090311097</v>
      </c>
      <c r="B41" s="8" t="s">
        <v>374</v>
      </c>
      <c r="C41" s="8" t="s">
        <v>375</v>
      </c>
      <c r="D41" s="8" t="s">
        <v>264</v>
      </c>
      <c r="E41" s="16" t="s">
        <v>302</v>
      </c>
      <c r="F41" s="17">
        <v>82</v>
      </c>
      <c r="G41" s="16">
        <v>7</v>
      </c>
    </row>
    <row r="42" spans="1:7" ht="24" customHeight="1">
      <c r="A42" s="15">
        <v>22090311109</v>
      </c>
      <c r="B42" s="8" t="s">
        <v>374</v>
      </c>
      <c r="C42" s="8" t="s">
        <v>375</v>
      </c>
      <c r="D42" s="8" t="s">
        <v>264</v>
      </c>
      <c r="E42" s="16" t="s">
        <v>303</v>
      </c>
      <c r="F42" s="17">
        <v>82</v>
      </c>
      <c r="G42" s="16">
        <v>7</v>
      </c>
    </row>
    <row r="43" spans="1:7" ht="24" customHeight="1">
      <c r="A43" s="15">
        <v>22090311823</v>
      </c>
      <c r="B43" s="8" t="s">
        <v>374</v>
      </c>
      <c r="C43" s="8" t="s">
        <v>375</v>
      </c>
      <c r="D43" s="8" t="s">
        <v>264</v>
      </c>
      <c r="E43" s="16" t="s">
        <v>304</v>
      </c>
      <c r="F43" s="17">
        <v>81.95</v>
      </c>
      <c r="G43" s="16">
        <v>9</v>
      </c>
    </row>
    <row r="44" spans="1:7" ht="24" customHeight="1">
      <c r="A44" s="15">
        <v>22090310015</v>
      </c>
      <c r="B44" s="8" t="s">
        <v>374</v>
      </c>
      <c r="C44" s="8" t="s">
        <v>375</v>
      </c>
      <c r="D44" s="8" t="s">
        <v>264</v>
      </c>
      <c r="E44" s="16" t="s">
        <v>305</v>
      </c>
      <c r="F44" s="17">
        <v>81.8</v>
      </c>
      <c r="G44" s="16">
        <v>10</v>
      </c>
    </row>
    <row r="45" spans="1:7" ht="24" customHeight="1">
      <c r="A45" s="15">
        <v>22090311393</v>
      </c>
      <c r="B45" s="8" t="s">
        <v>374</v>
      </c>
      <c r="C45" s="8" t="s">
        <v>375</v>
      </c>
      <c r="D45" s="8" t="s">
        <v>264</v>
      </c>
      <c r="E45" s="16" t="s">
        <v>306</v>
      </c>
      <c r="F45" s="17">
        <v>81.3</v>
      </c>
      <c r="G45" s="16">
        <v>11</v>
      </c>
    </row>
    <row r="46" spans="1:7" ht="24" customHeight="1">
      <c r="A46" s="15">
        <v>22090310883</v>
      </c>
      <c r="B46" s="8" t="s">
        <v>374</v>
      </c>
      <c r="C46" s="8" t="s">
        <v>375</v>
      </c>
      <c r="D46" s="8" t="s">
        <v>264</v>
      </c>
      <c r="E46" s="16" t="s">
        <v>307</v>
      </c>
      <c r="F46" s="17">
        <v>81.05</v>
      </c>
      <c r="G46" s="16">
        <v>12</v>
      </c>
    </row>
    <row r="47" spans="1:7" ht="24" customHeight="1">
      <c r="A47" s="15">
        <v>22090310353</v>
      </c>
      <c r="B47" s="8" t="s">
        <v>374</v>
      </c>
      <c r="C47" s="8" t="s">
        <v>375</v>
      </c>
      <c r="D47" s="8" t="s">
        <v>264</v>
      </c>
      <c r="E47" s="16" t="s">
        <v>308</v>
      </c>
      <c r="F47" s="17">
        <v>81</v>
      </c>
      <c r="G47" s="16">
        <v>13</v>
      </c>
    </row>
    <row r="48" spans="1:7" ht="24" customHeight="1">
      <c r="A48" s="15">
        <v>22090311351</v>
      </c>
      <c r="B48" s="8" t="s">
        <v>374</v>
      </c>
      <c r="C48" s="8" t="s">
        <v>375</v>
      </c>
      <c r="D48" s="8" t="s">
        <v>264</v>
      </c>
      <c r="E48" s="16" t="s">
        <v>309</v>
      </c>
      <c r="F48" s="17">
        <v>80.95</v>
      </c>
      <c r="G48" s="16">
        <v>14</v>
      </c>
    </row>
    <row r="49" spans="1:7" ht="24" customHeight="1">
      <c r="A49" s="15">
        <v>22090311438</v>
      </c>
      <c r="B49" s="8" t="s">
        <v>374</v>
      </c>
      <c r="C49" s="8" t="s">
        <v>375</v>
      </c>
      <c r="D49" s="8" t="s">
        <v>264</v>
      </c>
      <c r="E49" s="16" t="s">
        <v>310</v>
      </c>
      <c r="F49" s="17">
        <v>80.849999999999994</v>
      </c>
      <c r="G49" s="16">
        <v>15</v>
      </c>
    </row>
    <row r="50" spans="1:7" ht="24" customHeight="1">
      <c r="A50" s="15">
        <v>22090311898</v>
      </c>
      <c r="B50" s="8" t="s">
        <v>374</v>
      </c>
      <c r="C50" s="8" t="s">
        <v>375</v>
      </c>
      <c r="D50" s="8" t="s">
        <v>264</v>
      </c>
      <c r="E50" s="16" t="s">
        <v>311</v>
      </c>
      <c r="F50" s="17">
        <v>80.849999999999994</v>
      </c>
      <c r="G50" s="16">
        <v>15</v>
      </c>
    </row>
    <row r="51" spans="1:7" ht="24" customHeight="1">
      <c r="A51" s="15">
        <v>22090311800</v>
      </c>
      <c r="B51" s="8" t="s">
        <v>374</v>
      </c>
      <c r="C51" s="8" t="s">
        <v>375</v>
      </c>
      <c r="D51" s="8" t="s">
        <v>264</v>
      </c>
      <c r="E51" s="16" t="s">
        <v>312</v>
      </c>
      <c r="F51" s="17">
        <v>80.599999999999994</v>
      </c>
      <c r="G51" s="16">
        <v>17</v>
      </c>
    </row>
    <row r="52" spans="1:7" ht="24" customHeight="1">
      <c r="A52" s="15">
        <v>22090311015</v>
      </c>
      <c r="B52" s="8" t="s">
        <v>374</v>
      </c>
      <c r="C52" s="8" t="s">
        <v>375</v>
      </c>
      <c r="D52" s="8" t="s">
        <v>264</v>
      </c>
      <c r="E52" s="16" t="s">
        <v>313</v>
      </c>
      <c r="F52" s="17">
        <v>80.45</v>
      </c>
      <c r="G52" s="16">
        <v>18</v>
      </c>
    </row>
    <row r="53" spans="1:7" ht="24" customHeight="1">
      <c r="A53" s="15">
        <v>22090311303</v>
      </c>
      <c r="B53" s="8" t="s">
        <v>374</v>
      </c>
      <c r="C53" s="8" t="s">
        <v>375</v>
      </c>
      <c r="D53" s="8" t="s">
        <v>264</v>
      </c>
      <c r="E53" s="16" t="s">
        <v>314</v>
      </c>
      <c r="F53" s="17">
        <v>80.150000000000006</v>
      </c>
      <c r="G53" s="16">
        <v>19</v>
      </c>
    </row>
    <row r="54" spans="1:7" ht="24" customHeight="1">
      <c r="A54" s="15">
        <v>22090312220</v>
      </c>
      <c r="B54" s="8" t="s">
        <v>374</v>
      </c>
      <c r="C54" s="8" t="s">
        <v>375</v>
      </c>
      <c r="D54" s="8" t="s">
        <v>264</v>
      </c>
      <c r="E54" s="16" t="s">
        <v>315</v>
      </c>
      <c r="F54" s="17">
        <v>80.150000000000006</v>
      </c>
      <c r="G54" s="16">
        <v>19</v>
      </c>
    </row>
    <row r="55" spans="1:7" ht="24" customHeight="1">
      <c r="A55" s="15">
        <v>22090311732</v>
      </c>
      <c r="B55" s="8" t="s">
        <v>374</v>
      </c>
      <c r="C55" s="8" t="s">
        <v>375</v>
      </c>
      <c r="D55" s="8" t="s">
        <v>264</v>
      </c>
      <c r="E55" s="16" t="s">
        <v>316</v>
      </c>
      <c r="F55" s="17">
        <v>80.099999999999994</v>
      </c>
      <c r="G55" s="16">
        <v>21</v>
      </c>
    </row>
    <row r="56" spans="1:7" ht="24" customHeight="1">
      <c r="A56" s="15">
        <v>22090311620</v>
      </c>
      <c r="B56" s="8" t="s">
        <v>374</v>
      </c>
      <c r="C56" s="8" t="s">
        <v>375</v>
      </c>
      <c r="D56" s="8" t="s">
        <v>264</v>
      </c>
      <c r="E56" s="16" t="s">
        <v>317</v>
      </c>
      <c r="F56" s="17">
        <v>80</v>
      </c>
      <c r="G56" s="16">
        <v>22</v>
      </c>
    </row>
    <row r="57" spans="1:7" ht="24" customHeight="1">
      <c r="A57" s="15">
        <v>22090311375</v>
      </c>
      <c r="B57" s="8" t="s">
        <v>374</v>
      </c>
      <c r="C57" s="8" t="s">
        <v>375</v>
      </c>
      <c r="D57" s="8" t="s">
        <v>264</v>
      </c>
      <c r="E57" s="16" t="s">
        <v>318</v>
      </c>
      <c r="F57" s="17">
        <v>79.95</v>
      </c>
      <c r="G57" s="16">
        <v>23</v>
      </c>
    </row>
    <row r="58" spans="1:7" ht="24" customHeight="1">
      <c r="A58" s="15">
        <v>22090311900</v>
      </c>
      <c r="B58" s="8" t="s">
        <v>374</v>
      </c>
      <c r="C58" s="8" t="s">
        <v>375</v>
      </c>
      <c r="D58" s="8" t="s">
        <v>264</v>
      </c>
      <c r="E58" s="16" t="s">
        <v>319</v>
      </c>
      <c r="F58" s="17">
        <v>79.900000000000006</v>
      </c>
      <c r="G58" s="16">
        <v>24</v>
      </c>
    </row>
    <row r="59" spans="1:7" ht="24" customHeight="1">
      <c r="A59" s="15">
        <v>22090311745</v>
      </c>
      <c r="B59" s="8" t="s">
        <v>374</v>
      </c>
      <c r="C59" s="8" t="s">
        <v>375</v>
      </c>
      <c r="D59" s="8" t="s">
        <v>264</v>
      </c>
      <c r="E59" s="16" t="s">
        <v>320</v>
      </c>
      <c r="F59" s="17">
        <v>79.8</v>
      </c>
      <c r="G59" s="16">
        <v>25</v>
      </c>
    </row>
    <row r="60" spans="1:7" ht="24" customHeight="1">
      <c r="A60" s="15">
        <v>22090312057</v>
      </c>
      <c r="B60" s="8" t="s">
        <v>374</v>
      </c>
      <c r="C60" s="8" t="s">
        <v>375</v>
      </c>
      <c r="D60" s="8" t="s">
        <v>264</v>
      </c>
      <c r="E60" s="16" t="s">
        <v>321</v>
      </c>
      <c r="F60" s="17">
        <v>79.8</v>
      </c>
      <c r="G60" s="16">
        <v>25</v>
      </c>
    </row>
    <row r="61" spans="1:7" ht="24" customHeight="1">
      <c r="A61" s="15">
        <v>22090312142</v>
      </c>
      <c r="B61" s="8" t="s">
        <v>374</v>
      </c>
      <c r="C61" s="8" t="s">
        <v>375</v>
      </c>
      <c r="D61" s="8" t="s">
        <v>264</v>
      </c>
      <c r="E61" s="16" t="s">
        <v>322</v>
      </c>
      <c r="F61" s="17">
        <v>79.7</v>
      </c>
      <c r="G61" s="16">
        <v>27</v>
      </c>
    </row>
    <row r="62" spans="1:7" ht="24" customHeight="1">
      <c r="A62" s="15">
        <v>22090310165</v>
      </c>
      <c r="B62" s="8" t="s">
        <v>374</v>
      </c>
      <c r="C62" s="8" t="s">
        <v>375</v>
      </c>
      <c r="D62" s="8" t="s">
        <v>264</v>
      </c>
      <c r="E62" s="16" t="s">
        <v>323</v>
      </c>
      <c r="F62" s="17">
        <v>79.55</v>
      </c>
      <c r="G62" s="16">
        <v>28</v>
      </c>
    </row>
    <row r="63" spans="1:7" ht="24" customHeight="1">
      <c r="A63" s="15">
        <v>22090311308</v>
      </c>
      <c r="B63" s="8" t="s">
        <v>374</v>
      </c>
      <c r="C63" s="8" t="s">
        <v>375</v>
      </c>
      <c r="D63" s="8" t="s">
        <v>264</v>
      </c>
      <c r="E63" s="16" t="s">
        <v>324</v>
      </c>
      <c r="F63" s="17">
        <v>79.5</v>
      </c>
      <c r="G63" s="16">
        <v>29</v>
      </c>
    </row>
    <row r="64" spans="1:7" ht="24" customHeight="1">
      <c r="A64" s="15">
        <v>22090311261</v>
      </c>
      <c r="B64" s="8" t="s">
        <v>374</v>
      </c>
      <c r="C64" s="8" t="s">
        <v>375</v>
      </c>
      <c r="D64" s="8" t="s">
        <v>264</v>
      </c>
      <c r="E64" s="16" t="s">
        <v>325</v>
      </c>
      <c r="F64" s="17">
        <v>79.349999999999994</v>
      </c>
      <c r="G64" s="16">
        <v>30</v>
      </c>
    </row>
    <row r="65" spans="1:7" ht="24" customHeight="1">
      <c r="A65" s="15">
        <v>22090411440</v>
      </c>
      <c r="B65" s="8" t="s">
        <v>376</v>
      </c>
      <c r="C65" s="8" t="s">
        <v>377</v>
      </c>
      <c r="D65" s="8" t="s">
        <v>264</v>
      </c>
      <c r="E65" s="16" t="s">
        <v>326</v>
      </c>
      <c r="F65" s="17">
        <v>81.7</v>
      </c>
      <c r="G65" s="16">
        <v>1</v>
      </c>
    </row>
    <row r="66" spans="1:7" ht="24" customHeight="1">
      <c r="A66" s="15">
        <v>22090411317</v>
      </c>
      <c r="B66" s="8" t="s">
        <v>376</v>
      </c>
      <c r="C66" s="8" t="s">
        <v>377</v>
      </c>
      <c r="D66" s="8" t="s">
        <v>264</v>
      </c>
      <c r="E66" s="16" t="s">
        <v>327</v>
      </c>
      <c r="F66" s="17">
        <v>81.349999999999994</v>
      </c>
      <c r="G66" s="16">
        <v>2</v>
      </c>
    </row>
    <row r="67" spans="1:7" ht="24" customHeight="1">
      <c r="A67" s="15">
        <v>22090411442</v>
      </c>
      <c r="B67" s="8" t="s">
        <v>376</v>
      </c>
      <c r="C67" s="8" t="s">
        <v>377</v>
      </c>
      <c r="D67" s="8" t="s">
        <v>264</v>
      </c>
      <c r="E67" s="16" t="s">
        <v>328</v>
      </c>
      <c r="F67" s="17">
        <v>81.25</v>
      </c>
      <c r="G67" s="16">
        <v>3</v>
      </c>
    </row>
    <row r="68" spans="1:7" ht="24" customHeight="1">
      <c r="A68" s="15">
        <v>22090410944</v>
      </c>
      <c r="B68" s="8" t="s">
        <v>378</v>
      </c>
      <c r="C68" s="8" t="s">
        <v>379</v>
      </c>
      <c r="D68" s="8" t="s">
        <v>264</v>
      </c>
      <c r="E68" s="16" t="s">
        <v>329</v>
      </c>
      <c r="F68" s="17">
        <v>84.7</v>
      </c>
      <c r="G68" s="16">
        <v>1</v>
      </c>
    </row>
    <row r="69" spans="1:7" ht="24" customHeight="1">
      <c r="A69" s="15">
        <v>22090410978</v>
      </c>
      <c r="B69" s="8" t="s">
        <v>378</v>
      </c>
      <c r="C69" s="8" t="s">
        <v>379</v>
      </c>
      <c r="D69" s="8" t="s">
        <v>264</v>
      </c>
      <c r="E69" s="16" t="s">
        <v>330</v>
      </c>
      <c r="F69" s="17">
        <v>82.55</v>
      </c>
      <c r="G69" s="16">
        <v>2</v>
      </c>
    </row>
    <row r="70" spans="1:7" ht="24" customHeight="1">
      <c r="A70" s="15">
        <v>22090411039</v>
      </c>
      <c r="B70" s="8" t="s">
        <v>378</v>
      </c>
      <c r="C70" s="8" t="s">
        <v>379</v>
      </c>
      <c r="D70" s="8" t="s">
        <v>264</v>
      </c>
      <c r="E70" s="16" t="s">
        <v>331</v>
      </c>
      <c r="F70" s="17">
        <v>81.45</v>
      </c>
      <c r="G70" s="16">
        <v>3</v>
      </c>
    </row>
    <row r="71" spans="1:7" ht="24" customHeight="1">
      <c r="A71" s="15">
        <v>22090410926</v>
      </c>
      <c r="B71" s="8" t="s">
        <v>378</v>
      </c>
      <c r="C71" s="8" t="s">
        <v>379</v>
      </c>
      <c r="D71" s="8" t="s">
        <v>264</v>
      </c>
      <c r="E71" s="16" t="s">
        <v>332</v>
      </c>
      <c r="F71" s="17">
        <v>81.2</v>
      </c>
      <c r="G71" s="16">
        <v>4</v>
      </c>
    </row>
    <row r="72" spans="1:7" ht="24" customHeight="1">
      <c r="A72" s="15">
        <v>22090410928</v>
      </c>
      <c r="B72" s="8" t="s">
        <v>378</v>
      </c>
      <c r="C72" s="8" t="s">
        <v>379</v>
      </c>
      <c r="D72" s="8" t="s">
        <v>264</v>
      </c>
      <c r="E72" s="16" t="s">
        <v>333</v>
      </c>
      <c r="F72" s="17">
        <v>80.95</v>
      </c>
      <c r="G72" s="16">
        <v>5</v>
      </c>
    </row>
    <row r="73" spans="1:7" ht="24" customHeight="1">
      <c r="A73" s="15">
        <v>22090410684</v>
      </c>
      <c r="B73" s="8" t="s">
        <v>380</v>
      </c>
      <c r="C73" s="8" t="s">
        <v>381</v>
      </c>
      <c r="D73" s="8" t="s">
        <v>264</v>
      </c>
      <c r="E73" s="16" t="s">
        <v>334</v>
      </c>
      <c r="F73" s="17">
        <v>81.150000000000006</v>
      </c>
      <c r="G73" s="16">
        <v>1</v>
      </c>
    </row>
    <row r="74" spans="1:7" ht="24" customHeight="1">
      <c r="A74" s="15">
        <v>22090410707</v>
      </c>
      <c r="B74" s="8" t="s">
        <v>380</v>
      </c>
      <c r="C74" s="8" t="s">
        <v>381</v>
      </c>
      <c r="D74" s="8" t="s">
        <v>264</v>
      </c>
      <c r="E74" s="16" t="s">
        <v>335</v>
      </c>
      <c r="F74" s="17">
        <v>80.599999999999994</v>
      </c>
      <c r="G74" s="16">
        <v>2</v>
      </c>
    </row>
    <row r="75" spans="1:7" ht="24" customHeight="1">
      <c r="A75" s="15">
        <v>22090410712</v>
      </c>
      <c r="B75" s="8" t="s">
        <v>380</v>
      </c>
      <c r="C75" s="8" t="s">
        <v>381</v>
      </c>
      <c r="D75" s="8" t="s">
        <v>264</v>
      </c>
      <c r="E75" s="16" t="s">
        <v>336</v>
      </c>
      <c r="F75" s="17">
        <v>77.3</v>
      </c>
      <c r="G75" s="16">
        <v>3</v>
      </c>
    </row>
    <row r="76" spans="1:7" ht="24" customHeight="1">
      <c r="A76" s="15">
        <v>22090410810</v>
      </c>
      <c r="B76" s="8" t="s">
        <v>380</v>
      </c>
      <c r="C76" s="8" t="s">
        <v>381</v>
      </c>
      <c r="D76" s="8" t="s">
        <v>264</v>
      </c>
      <c r="E76" s="16" t="s">
        <v>337</v>
      </c>
      <c r="F76" s="17">
        <v>77</v>
      </c>
      <c r="G76" s="16">
        <v>4</v>
      </c>
    </row>
  </sheetData>
  <mergeCells count="1">
    <mergeCell ref="A2:G2"/>
  </mergeCells>
  <phoneticPr fontId="2" type="noConversion"/>
  <printOptions horizontalCentered="1"/>
  <pageMargins left="0.23622047244094491" right="0.23622047244094491" top="0.74803149606299213" bottom="0.74803149606299213" header="0.31496062992125984" footer="0.31496062992125984"/>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E32" sqref="E32"/>
    </sheetView>
  </sheetViews>
  <sheetFormatPr defaultRowHeight="13.5"/>
  <cols>
    <col min="1" max="1" width="14.25" customWidth="1"/>
    <col min="2" max="2" width="8.375" customWidth="1"/>
    <col min="3" max="3" width="18.375" customWidth="1"/>
    <col min="4" max="4" width="23.625" bestFit="1" customWidth="1"/>
    <col min="5" max="5" width="7.125" bestFit="1" customWidth="1"/>
    <col min="6" max="6" width="7.125" customWidth="1"/>
    <col min="7" max="7" width="6.125" customWidth="1"/>
  </cols>
  <sheetData>
    <row r="1" spans="1:7">
      <c r="A1" t="s">
        <v>404</v>
      </c>
    </row>
    <row r="2" spans="1:7" ht="41.25" customHeight="1">
      <c r="A2" s="39" t="s">
        <v>405</v>
      </c>
      <c r="B2" s="39"/>
      <c r="C2" s="39"/>
      <c r="D2" s="39"/>
      <c r="E2" s="39"/>
      <c r="F2" s="39"/>
      <c r="G2" s="39"/>
    </row>
    <row r="3" spans="1:7" s="28" customFormat="1" ht="35.25" customHeight="1">
      <c r="A3" s="35" t="s">
        <v>206</v>
      </c>
      <c r="B3" s="27" t="s">
        <v>120</v>
      </c>
      <c r="C3" s="27" t="s">
        <v>121</v>
      </c>
      <c r="D3" s="27" t="s">
        <v>406</v>
      </c>
      <c r="E3" s="27" t="s">
        <v>407</v>
      </c>
      <c r="F3" s="27" t="s">
        <v>408</v>
      </c>
      <c r="G3" s="29" t="s">
        <v>409</v>
      </c>
    </row>
    <row r="4" spans="1:7" ht="24.75" customHeight="1">
      <c r="A4" s="24">
        <v>22090410405</v>
      </c>
      <c r="B4" s="7" t="s">
        <v>370</v>
      </c>
      <c r="C4" s="7" t="s">
        <v>371</v>
      </c>
      <c r="D4" s="7" t="s">
        <v>338</v>
      </c>
      <c r="E4" s="25" t="s">
        <v>339</v>
      </c>
      <c r="F4" s="26">
        <v>82.65</v>
      </c>
      <c r="G4" s="25">
        <v>1</v>
      </c>
    </row>
    <row r="5" spans="1:7" ht="24.75" customHeight="1">
      <c r="A5" s="24">
        <v>22090410367</v>
      </c>
      <c r="B5" s="7" t="s">
        <v>370</v>
      </c>
      <c r="C5" s="7" t="s">
        <v>371</v>
      </c>
      <c r="D5" s="7" t="s">
        <v>338</v>
      </c>
      <c r="E5" s="25" t="s">
        <v>340</v>
      </c>
      <c r="F5" s="26">
        <v>82.6</v>
      </c>
      <c r="G5" s="25">
        <v>2</v>
      </c>
    </row>
    <row r="6" spans="1:7" ht="24.75" customHeight="1">
      <c r="A6" s="24">
        <v>22090410484</v>
      </c>
      <c r="B6" s="7" t="s">
        <v>370</v>
      </c>
      <c r="C6" s="7" t="s">
        <v>371</v>
      </c>
      <c r="D6" s="7" t="s">
        <v>338</v>
      </c>
      <c r="E6" s="25" t="s">
        <v>341</v>
      </c>
      <c r="F6" s="26">
        <v>81.25</v>
      </c>
      <c r="G6" s="25">
        <v>3</v>
      </c>
    </row>
    <row r="7" spans="1:7" ht="24.75" customHeight="1">
      <c r="A7" s="24">
        <v>22090410062</v>
      </c>
      <c r="B7" s="7" t="s">
        <v>370</v>
      </c>
      <c r="C7" s="7" t="s">
        <v>371</v>
      </c>
      <c r="D7" s="7" t="s">
        <v>338</v>
      </c>
      <c r="E7" s="25" t="s">
        <v>342</v>
      </c>
      <c r="F7" s="26">
        <v>81.05</v>
      </c>
      <c r="G7" s="25">
        <v>4</v>
      </c>
    </row>
    <row r="8" spans="1:7" ht="24.75" customHeight="1">
      <c r="A8" s="24">
        <v>22090410274</v>
      </c>
      <c r="B8" s="7" t="s">
        <v>370</v>
      </c>
      <c r="C8" s="7" t="s">
        <v>371</v>
      </c>
      <c r="D8" s="7" t="s">
        <v>338</v>
      </c>
      <c r="E8" s="25" t="s">
        <v>343</v>
      </c>
      <c r="F8" s="26">
        <v>79.8</v>
      </c>
      <c r="G8" s="25">
        <v>5</v>
      </c>
    </row>
    <row r="9" spans="1:7" ht="24.75" customHeight="1">
      <c r="A9" s="24">
        <v>22090410346</v>
      </c>
      <c r="B9" s="7" t="s">
        <v>370</v>
      </c>
      <c r="C9" s="7" t="s">
        <v>371</v>
      </c>
      <c r="D9" s="7" t="s">
        <v>338</v>
      </c>
      <c r="E9" s="25" t="s">
        <v>344</v>
      </c>
      <c r="F9" s="26">
        <v>79.05</v>
      </c>
      <c r="G9" s="25">
        <v>6</v>
      </c>
    </row>
    <row r="10" spans="1:7" ht="24.75" customHeight="1">
      <c r="A10" s="24">
        <v>22090410091</v>
      </c>
      <c r="B10" s="7" t="s">
        <v>370</v>
      </c>
      <c r="C10" s="7" t="s">
        <v>371</v>
      </c>
      <c r="D10" s="7" t="s">
        <v>338</v>
      </c>
      <c r="E10" s="25" t="s">
        <v>345</v>
      </c>
      <c r="F10" s="26">
        <v>78.45</v>
      </c>
      <c r="G10" s="25">
        <v>7</v>
      </c>
    </row>
    <row r="11" spans="1:7" ht="24.75" customHeight="1">
      <c r="A11" s="24">
        <v>22090410215</v>
      </c>
      <c r="B11" s="7" t="s">
        <v>370</v>
      </c>
      <c r="C11" s="7" t="s">
        <v>371</v>
      </c>
      <c r="D11" s="7" t="s">
        <v>338</v>
      </c>
      <c r="E11" s="25" t="s">
        <v>346</v>
      </c>
      <c r="F11" s="26">
        <v>78.45</v>
      </c>
      <c r="G11" s="25">
        <v>7</v>
      </c>
    </row>
    <row r="12" spans="1:7" ht="24.75" customHeight="1">
      <c r="A12" s="24">
        <v>22090410577</v>
      </c>
      <c r="B12" s="7" t="s">
        <v>370</v>
      </c>
      <c r="C12" s="7" t="s">
        <v>371</v>
      </c>
      <c r="D12" s="7" t="s">
        <v>338</v>
      </c>
      <c r="E12" s="25" t="s">
        <v>347</v>
      </c>
      <c r="F12" s="26">
        <v>77.95</v>
      </c>
      <c r="G12" s="25">
        <v>9</v>
      </c>
    </row>
    <row r="13" spans="1:7" ht="24.75" customHeight="1">
      <c r="A13" s="24">
        <v>22090410404</v>
      </c>
      <c r="B13" s="7" t="s">
        <v>370</v>
      </c>
      <c r="C13" s="7" t="s">
        <v>371</v>
      </c>
      <c r="D13" s="7" t="s">
        <v>338</v>
      </c>
      <c r="E13" s="25" t="s">
        <v>348</v>
      </c>
      <c r="F13" s="26">
        <v>77.849999999999994</v>
      </c>
      <c r="G13" s="25">
        <v>10</v>
      </c>
    </row>
    <row r="14" spans="1:7" ht="24.75" customHeight="1">
      <c r="A14" s="24">
        <v>22090410398</v>
      </c>
      <c r="B14" s="7" t="s">
        <v>370</v>
      </c>
      <c r="C14" s="7" t="s">
        <v>371</v>
      </c>
      <c r="D14" s="7" t="s">
        <v>338</v>
      </c>
      <c r="E14" s="25" t="s">
        <v>349</v>
      </c>
      <c r="F14" s="26">
        <v>77.650000000000006</v>
      </c>
      <c r="G14" s="25">
        <v>11</v>
      </c>
    </row>
    <row r="15" spans="1:7" ht="24.75" customHeight="1">
      <c r="A15" s="24">
        <v>22090410571</v>
      </c>
      <c r="B15" s="7" t="s">
        <v>370</v>
      </c>
      <c r="C15" s="7" t="s">
        <v>371</v>
      </c>
      <c r="D15" s="7" t="s">
        <v>338</v>
      </c>
      <c r="E15" s="25" t="s">
        <v>350</v>
      </c>
      <c r="F15" s="26">
        <v>77.650000000000006</v>
      </c>
      <c r="G15" s="25">
        <v>11</v>
      </c>
    </row>
    <row r="16" spans="1:7" ht="24.75" customHeight="1">
      <c r="A16" s="24">
        <v>22090410125</v>
      </c>
      <c r="B16" s="7" t="s">
        <v>370</v>
      </c>
      <c r="C16" s="7" t="s">
        <v>371</v>
      </c>
      <c r="D16" s="7" t="s">
        <v>338</v>
      </c>
      <c r="E16" s="25" t="s">
        <v>351</v>
      </c>
      <c r="F16" s="26">
        <v>77.55</v>
      </c>
      <c r="G16" s="25">
        <v>13</v>
      </c>
    </row>
    <row r="17" spans="1:7" ht="24.75" customHeight="1">
      <c r="A17" s="24">
        <v>22090410541</v>
      </c>
      <c r="B17" s="7" t="s">
        <v>370</v>
      </c>
      <c r="C17" s="7" t="s">
        <v>371</v>
      </c>
      <c r="D17" s="7" t="s">
        <v>338</v>
      </c>
      <c r="E17" s="25" t="s">
        <v>352</v>
      </c>
      <c r="F17" s="26">
        <v>77.45</v>
      </c>
      <c r="G17" s="25">
        <v>14</v>
      </c>
    </row>
    <row r="18" spans="1:7" ht="24.75" customHeight="1">
      <c r="A18" s="24">
        <v>22090410369</v>
      </c>
      <c r="B18" s="7" t="s">
        <v>370</v>
      </c>
      <c r="C18" s="7" t="s">
        <v>371</v>
      </c>
      <c r="D18" s="7" t="s">
        <v>338</v>
      </c>
      <c r="E18" s="25" t="s">
        <v>353</v>
      </c>
      <c r="F18" s="26">
        <v>77.150000000000006</v>
      </c>
      <c r="G18" s="25">
        <v>15</v>
      </c>
    </row>
    <row r="19" spans="1:7" ht="24.75" customHeight="1">
      <c r="A19" s="24">
        <v>22090410590</v>
      </c>
      <c r="B19" s="7" t="s">
        <v>370</v>
      </c>
      <c r="C19" s="7" t="s">
        <v>371</v>
      </c>
      <c r="D19" s="7" t="s">
        <v>338</v>
      </c>
      <c r="E19" s="25" t="s">
        <v>354</v>
      </c>
      <c r="F19" s="26">
        <v>76.95</v>
      </c>
      <c r="G19" s="25">
        <v>16</v>
      </c>
    </row>
    <row r="20" spans="1:7" ht="24.75" customHeight="1">
      <c r="A20" s="24">
        <v>22090410086</v>
      </c>
      <c r="B20" s="7" t="s">
        <v>370</v>
      </c>
      <c r="C20" s="7" t="s">
        <v>371</v>
      </c>
      <c r="D20" s="7" t="s">
        <v>338</v>
      </c>
      <c r="E20" s="25" t="s">
        <v>355</v>
      </c>
      <c r="F20" s="26">
        <v>76.849999999999994</v>
      </c>
      <c r="G20" s="25">
        <v>17</v>
      </c>
    </row>
    <row r="21" spans="1:7" ht="24.75" customHeight="1">
      <c r="A21" s="24">
        <v>22090410439</v>
      </c>
      <c r="B21" s="7" t="s">
        <v>370</v>
      </c>
      <c r="C21" s="7" t="s">
        <v>371</v>
      </c>
      <c r="D21" s="7" t="s">
        <v>338</v>
      </c>
      <c r="E21" s="25" t="s">
        <v>356</v>
      </c>
      <c r="F21" s="26">
        <v>76.849999999999994</v>
      </c>
      <c r="G21" s="25">
        <v>17</v>
      </c>
    </row>
    <row r="22" spans="1:7" ht="24.75" customHeight="1">
      <c r="A22" s="24">
        <v>22090410648</v>
      </c>
      <c r="B22" s="7" t="s">
        <v>370</v>
      </c>
      <c r="C22" s="7" t="s">
        <v>371</v>
      </c>
      <c r="D22" s="7" t="s">
        <v>338</v>
      </c>
      <c r="E22" s="25" t="s">
        <v>357</v>
      </c>
      <c r="F22" s="26">
        <v>76.349999999999994</v>
      </c>
      <c r="G22" s="25">
        <v>19</v>
      </c>
    </row>
    <row r="23" spans="1:7" ht="24.75" customHeight="1">
      <c r="A23" s="24">
        <v>22090410221</v>
      </c>
      <c r="B23" s="7" t="s">
        <v>370</v>
      </c>
      <c r="C23" s="7" t="s">
        <v>371</v>
      </c>
      <c r="D23" s="7" t="s">
        <v>338</v>
      </c>
      <c r="E23" s="25" t="s">
        <v>358</v>
      </c>
      <c r="F23" s="26">
        <v>76.2</v>
      </c>
      <c r="G23" s="25">
        <v>20</v>
      </c>
    </row>
    <row r="24" spans="1:7" ht="24.75" customHeight="1">
      <c r="A24" s="24">
        <v>22090410444</v>
      </c>
      <c r="B24" s="7" t="s">
        <v>370</v>
      </c>
      <c r="C24" s="7" t="s">
        <v>371</v>
      </c>
      <c r="D24" s="7" t="s">
        <v>338</v>
      </c>
      <c r="E24" s="25" t="s">
        <v>359</v>
      </c>
      <c r="F24" s="26">
        <v>76.099999999999994</v>
      </c>
      <c r="G24" s="25">
        <v>21</v>
      </c>
    </row>
    <row r="25" spans="1:7" ht="24.75" customHeight="1">
      <c r="A25" s="24">
        <v>22090410485</v>
      </c>
      <c r="B25" s="7" t="s">
        <v>370</v>
      </c>
      <c r="C25" s="7" t="s">
        <v>371</v>
      </c>
      <c r="D25" s="7" t="s">
        <v>338</v>
      </c>
      <c r="E25" s="25" t="s">
        <v>360</v>
      </c>
      <c r="F25" s="26">
        <v>76</v>
      </c>
      <c r="G25" s="25">
        <v>22</v>
      </c>
    </row>
    <row r="26" spans="1:7" ht="24.75" customHeight="1">
      <c r="A26" s="24">
        <v>22090410066</v>
      </c>
      <c r="B26" s="7" t="s">
        <v>370</v>
      </c>
      <c r="C26" s="7" t="s">
        <v>371</v>
      </c>
      <c r="D26" s="7" t="s">
        <v>338</v>
      </c>
      <c r="E26" s="25" t="s">
        <v>361</v>
      </c>
      <c r="F26" s="26">
        <v>75.8</v>
      </c>
      <c r="G26" s="25">
        <v>23</v>
      </c>
    </row>
    <row r="27" spans="1:7" ht="24.75" customHeight="1">
      <c r="A27" s="24">
        <v>22090410305</v>
      </c>
      <c r="B27" s="7" t="s">
        <v>370</v>
      </c>
      <c r="C27" s="7" t="s">
        <v>371</v>
      </c>
      <c r="D27" s="7" t="s">
        <v>338</v>
      </c>
      <c r="E27" s="25" t="s">
        <v>362</v>
      </c>
      <c r="F27" s="26">
        <v>75.7</v>
      </c>
      <c r="G27" s="25">
        <v>24</v>
      </c>
    </row>
  </sheetData>
  <mergeCells count="1">
    <mergeCell ref="A2:G2"/>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J11" sqref="J11:K11"/>
    </sheetView>
  </sheetViews>
  <sheetFormatPr defaultRowHeight="27.75" customHeight="1"/>
  <cols>
    <col min="1" max="1" width="12.75" bestFit="1" customWidth="1"/>
    <col min="2" max="2" width="10.25" customWidth="1"/>
    <col min="3" max="3" width="19.5" customWidth="1"/>
    <col min="4" max="4" width="13" bestFit="1" customWidth="1"/>
    <col min="6" max="6" width="7.5" bestFit="1" customWidth="1"/>
    <col min="7" max="7" width="9.125" customWidth="1"/>
  </cols>
  <sheetData>
    <row r="1" spans="1:7" ht="21.75" customHeight="1">
      <c r="A1" s="20" t="s">
        <v>410</v>
      </c>
    </row>
    <row r="2" spans="1:7" ht="40.5" customHeight="1">
      <c r="A2" s="39" t="s">
        <v>411</v>
      </c>
      <c r="B2" s="39"/>
      <c r="C2" s="39"/>
      <c r="D2" s="39"/>
      <c r="E2" s="39"/>
      <c r="F2" s="39"/>
      <c r="G2" s="39"/>
    </row>
    <row r="3" spans="1:7" s="28" customFormat="1" ht="27.75" customHeight="1">
      <c r="A3" s="35" t="s">
        <v>206</v>
      </c>
      <c r="B3" s="35" t="s">
        <v>120</v>
      </c>
      <c r="C3" s="35" t="s">
        <v>121</v>
      </c>
      <c r="D3" s="35" t="s">
        <v>383</v>
      </c>
      <c r="E3" s="35" t="s">
        <v>48</v>
      </c>
      <c r="F3" s="35" t="s">
        <v>207</v>
      </c>
      <c r="G3" s="35" t="s">
        <v>396</v>
      </c>
    </row>
    <row r="4" spans="1:7" ht="27.75" customHeight="1">
      <c r="A4" s="24">
        <v>22090411493</v>
      </c>
      <c r="B4" s="7">
        <v>501</v>
      </c>
      <c r="C4" s="7" t="s">
        <v>382</v>
      </c>
      <c r="D4" s="7" t="s">
        <v>363</v>
      </c>
      <c r="E4" s="25" t="s">
        <v>364</v>
      </c>
      <c r="F4" s="26">
        <v>78.900000000000006</v>
      </c>
      <c r="G4" s="25">
        <v>1</v>
      </c>
    </row>
    <row r="5" spans="1:7" ht="27.75" customHeight="1">
      <c r="A5" s="24">
        <v>22090411477</v>
      </c>
      <c r="B5" s="7">
        <v>501</v>
      </c>
      <c r="C5" s="7" t="s">
        <v>382</v>
      </c>
      <c r="D5" s="7" t="s">
        <v>363</v>
      </c>
      <c r="E5" s="25" t="s">
        <v>365</v>
      </c>
      <c r="F5" s="26">
        <v>75.650000000000006</v>
      </c>
      <c r="G5" s="25">
        <v>2</v>
      </c>
    </row>
    <row r="6" spans="1:7" ht="27.75" customHeight="1">
      <c r="A6" s="24">
        <v>22090411497</v>
      </c>
      <c r="B6" s="7">
        <v>501</v>
      </c>
      <c r="C6" s="7" t="s">
        <v>382</v>
      </c>
      <c r="D6" s="7" t="s">
        <v>363</v>
      </c>
      <c r="E6" s="25" t="s">
        <v>366</v>
      </c>
      <c r="F6" s="26">
        <v>73.3</v>
      </c>
      <c r="G6" s="25">
        <v>3</v>
      </c>
    </row>
    <row r="7" spans="1:7" ht="27.75" customHeight="1">
      <c r="A7" s="24">
        <v>22090411507</v>
      </c>
      <c r="B7" s="7">
        <v>501</v>
      </c>
      <c r="C7" s="7" t="s">
        <v>382</v>
      </c>
      <c r="D7" s="7" t="s">
        <v>363</v>
      </c>
      <c r="E7" s="25" t="s">
        <v>367</v>
      </c>
      <c r="F7" s="26">
        <v>72.75</v>
      </c>
      <c r="G7" s="25">
        <v>4</v>
      </c>
    </row>
    <row r="8" spans="1:7" ht="27.75" customHeight="1">
      <c r="A8" s="24">
        <v>22090411513</v>
      </c>
      <c r="B8" s="7">
        <v>501</v>
      </c>
      <c r="C8" s="7" t="s">
        <v>382</v>
      </c>
      <c r="D8" s="7" t="s">
        <v>363</v>
      </c>
      <c r="E8" s="25" t="s">
        <v>368</v>
      </c>
      <c r="F8" s="26">
        <v>71.900000000000006</v>
      </c>
      <c r="G8" s="25">
        <v>5</v>
      </c>
    </row>
    <row r="9" spans="1:7" ht="27.75" customHeight="1">
      <c r="A9" s="24">
        <v>22090411476</v>
      </c>
      <c r="B9" s="7">
        <v>501</v>
      </c>
      <c r="C9" s="7" t="s">
        <v>382</v>
      </c>
      <c r="D9" s="7" t="s">
        <v>363</v>
      </c>
      <c r="E9" s="25" t="s">
        <v>369</v>
      </c>
      <c r="F9" s="26">
        <v>71.45</v>
      </c>
      <c r="G9" s="25">
        <v>6</v>
      </c>
    </row>
  </sheetData>
  <mergeCells count="1">
    <mergeCell ref="A2:G2"/>
  </mergeCells>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4</vt:i4>
      </vt:variant>
    </vt:vector>
  </HeadingPairs>
  <TitlesOfParts>
    <vt:vector size="11" baseType="lpstr">
      <vt:lpstr>Sheet3</vt:lpstr>
      <vt:lpstr>附件一</vt:lpstr>
      <vt:lpstr>附件二</vt:lpstr>
      <vt:lpstr>附件三</vt:lpstr>
      <vt:lpstr>附件四</vt:lpstr>
      <vt:lpstr>附件五</vt:lpstr>
      <vt:lpstr>附件六</vt:lpstr>
      <vt:lpstr>附件二!Print_Titles</vt:lpstr>
      <vt:lpstr>附件三!Print_Titles</vt:lpstr>
      <vt:lpstr>附件四!Print_Titles</vt:lpstr>
      <vt:lpstr>附件一!Print_Titles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2022-09-20T08:29:33Z</cp:lastPrinted>
  <dcterms:created xsi:type="dcterms:W3CDTF">2022-09-16T07:25:48Z</dcterms:created>
  <dcterms:modified xsi:type="dcterms:W3CDTF">2022-09-20T08:29:34Z</dcterms:modified>
</cp:coreProperties>
</file>